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80" tabRatio="781" activeTab="7"/>
  </bookViews>
  <sheets>
    <sheet name="Кольцово_Семейная_Сбер" sheetId="50" r:id="rId1"/>
    <sheet name="Кольцово" sheetId="49" r:id="rId2"/>
    <sheet name="ЖК ВЛ_Семейная_Сбер" sheetId="51" r:id="rId3"/>
    <sheet name="ЖК ВЛ" sheetId="36" r:id="rId4"/>
    <sheet name="ЖК ЛМ3_Семейная_Сбер" sheetId="52" r:id="rId5"/>
    <sheet name="ЖК ЛМ3" sheetId="35" r:id="rId6"/>
    <sheet name="ЖК Медовый_Семейная_Сбербанк" sheetId="53" r:id="rId7"/>
    <sheet name="ЖК Медовый" sheetId="42" r:id="rId8"/>
  </sheets>
  <definedNames>
    <definedName name="_xlnm._FilterDatabase" localSheetId="3" hidden="1">'ЖК ВЛ'!#REF!</definedName>
    <definedName name="_xlnm._FilterDatabase" localSheetId="2" hidden="1">'ЖК ВЛ_Семейная_Сбер'!#REF!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53" l="1"/>
  <c r="C77" i="53"/>
  <c r="C76" i="53"/>
  <c r="C4" i="53"/>
  <c r="C40" i="53"/>
  <c r="D78" i="53"/>
  <c r="D77" i="53"/>
  <c r="D76" i="53"/>
  <c r="C42" i="53"/>
  <c r="C41" i="53"/>
  <c r="D42" i="53"/>
  <c r="D41" i="53"/>
  <c r="D40" i="53"/>
  <c r="C6" i="53"/>
  <c r="C5" i="53"/>
  <c r="D6" i="53"/>
  <c r="D5" i="53"/>
  <c r="D4" i="53"/>
  <c r="C114" i="42"/>
  <c r="C113" i="42"/>
  <c r="C112" i="42"/>
  <c r="C111" i="42"/>
  <c r="D114" i="42"/>
  <c r="D113" i="42"/>
  <c r="D112" i="42"/>
  <c r="C78" i="42"/>
  <c r="C77" i="42"/>
  <c r="C76" i="42"/>
  <c r="D78" i="42"/>
  <c r="D77" i="42"/>
  <c r="D76" i="42"/>
  <c r="C42" i="42"/>
  <c r="C41" i="42"/>
  <c r="C40" i="42"/>
  <c r="D42" i="42"/>
  <c r="D41" i="42"/>
  <c r="D40" i="42"/>
  <c r="D6" i="42"/>
  <c r="D5" i="42"/>
  <c r="D4" i="42"/>
  <c r="E143" i="42"/>
  <c r="C143" i="42"/>
  <c r="E142" i="42"/>
  <c r="C142" i="42"/>
  <c r="E141" i="42"/>
  <c r="C141" i="42"/>
  <c r="E140" i="42"/>
  <c r="C140" i="42"/>
  <c r="E139" i="42"/>
  <c r="C139" i="42"/>
  <c r="E138" i="42"/>
  <c r="C138" i="42"/>
  <c r="E137" i="42"/>
  <c r="C137" i="42"/>
  <c r="F136" i="42"/>
  <c r="E136" i="42"/>
  <c r="D136" i="42"/>
  <c r="C136" i="42"/>
  <c r="F135" i="42"/>
  <c r="E135" i="42"/>
  <c r="D135" i="42"/>
  <c r="C135" i="42"/>
  <c r="F134" i="42"/>
  <c r="E134" i="42"/>
  <c r="D134" i="42"/>
  <c r="C134" i="42"/>
  <c r="F133" i="42"/>
  <c r="E133" i="42"/>
  <c r="D133" i="42"/>
  <c r="C133" i="42"/>
  <c r="F132" i="42"/>
  <c r="E132" i="42"/>
  <c r="D132" i="42"/>
  <c r="C132" i="42"/>
  <c r="F131" i="42"/>
  <c r="E131" i="42"/>
  <c r="D131" i="42"/>
  <c r="C131" i="42"/>
  <c r="F130" i="42"/>
  <c r="E130" i="42"/>
  <c r="D130" i="42"/>
  <c r="C130" i="42"/>
  <c r="E129" i="42"/>
  <c r="C129" i="42"/>
  <c r="E128" i="42"/>
  <c r="C128" i="42"/>
  <c r="E127" i="42"/>
  <c r="C127" i="42"/>
  <c r="E126" i="42"/>
  <c r="C126" i="42"/>
  <c r="E125" i="42"/>
  <c r="C125" i="42"/>
  <c r="E124" i="42"/>
  <c r="C124" i="42"/>
  <c r="E123" i="42"/>
  <c r="C123" i="42"/>
  <c r="E122" i="42"/>
  <c r="C122" i="42"/>
  <c r="E121" i="42"/>
  <c r="C121" i="42"/>
  <c r="E120" i="42"/>
  <c r="C120" i="42"/>
  <c r="E119" i="42"/>
  <c r="C119" i="42"/>
  <c r="E118" i="42"/>
  <c r="C118" i="42"/>
  <c r="E117" i="42"/>
  <c r="C117" i="42"/>
  <c r="E116" i="42"/>
  <c r="C116" i="42"/>
  <c r="E115" i="42"/>
  <c r="C115" i="42"/>
  <c r="D111" i="42"/>
  <c r="E107" i="42"/>
  <c r="C107" i="42"/>
  <c r="E106" i="42"/>
  <c r="C106" i="42"/>
  <c r="E105" i="42"/>
  <c r="C105" i="42"/>
  <c r="E104" i="42"/>
  <c r="C104" i="42"/>
  <c r="E103" i="42"/>
  <c r="C103" i="42"/>
  <c r="E102" i="42"/>
  <c r="C102" i="42"/>
  <c r="E101" i="42"/>
  <c r="C101" i="42"/>
  <c r="F100" i="42"/>
  <c r="E100" i="42"/>
  <c r="D100" i="42"/>
  <c r="C100" i="42"/>
  <c r="F99" i="42"/>
  <c r="E99" i="42"/>
  <c r="D99" i="42"/>
  <c r="C99" i="42"/>
  <c r="F98" i="42"/>
  <c r="E98" i="42"/>
  <c r="D98" i="42"/>
  <c r="C98" i="42"/>
  <c r="F97" i="42"/>
  <c r="E97" i="42"/>
  <c r="D97" i="42"/>
  <c r="C97" i="42"/>
  <c r="F96" i="42"/>
  <c r="E96" i="42"/>
  <c r="D96" i="42"/>
  <c r="C96" i="42"/>
  <c r="F95" i="42"/>
  <c r="E95" i="42"/>
  <c r="D95" i="42"/>
  <c r="C95" i="42"/>
  <c r="F94" i="42"/>
  <c r="E94" i="42"/>
  <c r="D94" i="42"/>
  <c r="C94" i="42"/>
  <c r="E93" i="42"/>
  <c r="C93" i="42"/>
  <c r="E92" i="42"/>
  <c r="C92" i="42"/>
  <c r="E91" i="42"/>
  <c r="C91" i="42"/>
  <c r="E90" i="42"/>
  <c r="C90" i="42"/>
  <c r="E89" i="42"/>
  <c r="C89" i="42"/>
  <c r="E88" i="42"/>
  <c r="C88" i="42"/>
  <c r="E87" i="42"/>
  <c r="C87" i="42"/>
  <c r="E86" i="42"/>
  <c r="C86" i="42"/>
  <c r="E85" i="42"/>
  <c r="C85" i="42"/>
  <c r="E84" i="42"/>
  <c r="C84" i="42"/>
  <c r="E83" i="42"/>
  <c r="C83" i="42"/>
  <c r="E82" i="42"/>
  <c r="C82" i="42"/>
  <c r="E81" i="42"/>
  <c r="C81" i="42"/>
  <c r="E80" i="42"/>
  <c r="C80" i="42"/>
  <c r="E79" i="42"/>
  <c r="C79" i="42"/>
  <c r="D75" i="42"/>
  <c r="C75" i="42"/>
  <c r="E71" i="42"/>
  <c r="C71" i="42"/>
  <c r="E70" i="42"/>
  <c r="C70" i="42"/>
  <c r="E69" i="42"/>
  <c r="C69" i="42"/>
  <c r="E68" i="42"/>
  <c r="C68" i="42"/>
  <c r="E67" i="42"/>
  <c r="C67" i="42"/>
  <c r="E66" i="42"/>
  <c r="C66" i="42"/>
  <c r="E65" i="42"/>
  <c r="C65" i="42"/>
  <c r="F64" i="42"/>
  <c r="E64" i="42"/>
  <c r="D64" i="42"/>
  <c r="C64" i="42"/>
  <c r="F63" i="42"/>
  <c r="E63" i="42"/>
  <c r="D63" i="42"/>
  <c r="C63" i="42"/>
  <c r="F62" i="42"/>
  <c r="E62" i="42"/>
  <c r="D62" i="42"/>
  <c r="C62" i="42"/>
  <c r="F61" i="42"/>
  <c r="E61" i="42"/>
  <c r="D61" i="42"/>
  <c r="C61" i="42"/>
  <c r="F60" i="42"/>
  <c r="E60" i="42"/>
  <c r="D60" i="42"/>
  <c r="C60" i="42"/>
  <c r="F59" i="42"/>
  <c r="E59" i="42"/>
  <c r="D59" i="42"/>
  <c r="C59" i="42"/>
  <c r="F58" i="42"/>
  <c r="E58" i="42"/>
  <c r="D58" i="42"/>
  <c r="C58" i="42"/>
  <c r="E57" i="42"/>
  <c r="C57" i="42"/>
  <c r="E56" i="42"/>
  <c r="C56" i="42"/>
  <c r="E55" i="42"/>
  <c r="C55" i="42"/>
  <c r="E54" i="42"/>
  <c r="C54" i="42"/>
  <c r="E53" i="42"/>
  <c r="C53" i="42"/>
  <c r="E52" i="42"/>
  <c r="C52" i="42"/>
  <c r="E51" i="42"/>
  <c r="C51" i="42"/>
  <c r="E50" i="42"/>
  <c r="C50" i="42"/>
  <c r="E49" i="42"/>
  <c r="C49" i="42"/>
  <c r="E48" i="42"/>
  <c r="C48" i="42"/>
  <c r="E47" i="42"/>
  <c r="C47" i="42"/>
  <c r="E46" i="42"/>
  <c r="C46" i="42"/>
  <c r="E45" i="42"/>
  <c r="C45" i="42"/>
  <c r="E44" i="42"/>
  <c r="C44" i="42"/>
  <c r="E43" i="42"/>
  <c r="C43" i="42"/>
  <c r="D39" i="42"/>
  <c r="C39" i="42"/>
  <c r="F35" i="42"/>
  <c r="D35" i="42"/>
  <c r="F34" i="42"/>
  <c r="D34" i="42"/>
  <c r="F33" i="42"/>
  <c r="D33" i="42"/>
  <c r="F32" i="42"/>
  <c r="D32" i="42"/>
  <c r="F31" i="42"/>
  <c r="D31" i="42"/>
  <c r="F30" i="42"/>
  <c r="D30" i="42"/>
  <c r="F29" i="42"/>
  <c r="D29" i="42"/>
  <c r="F28" i="42"/>
  <c r="E28" i="42"/>
  <c r="D28" i="42"/>
  <c r="C28" i="42"/>
  <c r="F27" i="42"/>
  <c r="E27" i="42"/>
  <c r="D27" i="42"/>
  <c r="C27" i="42"/>
  <c r="F26" i="42"/>
  <c r="E26" i="42"/>
  <c r="D26" i="42"/>
  <c r="C26" i="42"/>
  <c r="F25" i="42"/>
  <c r="E25" i="42"/>
  <c r="D25" i="42"/>
  <c r="C25" i="42"/>
  <c r="F24" i="42"/>
  <c r="E24" i="42"/>
  <c r="D24" i="42"/>
  <c r="C24" i="42"/>
  <c r="F23" i="42"/>
  <c r="E23" i="42"/>
  <c r="D23" i="42"/>
  <c r="C23" i="42"/>
  <c r="F22" i="42"/>
  <c r="E22" i="42"/>
  <c r="D22" i="42"/>
  <c r="C22" i="42"/>
  <c r="F21" i="42"/>
  <c r="D21" i="42"/>
  <c r="F20" i="42"/>
  <c r="D20" i="42"/>
  <c r="F19" i="42"/>
  <c r="D19" i="42"/>
  <c r="F18" i="42"/>
  <c r="D18" i="42"/>
  <c r="F17" i="42"/>
  <c r="D17" i="42"/>
  <c r="F16" i="42"/>
  <c r="D16" i="42"/>
  <c r="F15" i="42"/>
  <c r="D15" i="42"/>
  <c r="F14" i="42"/>
  <c r="D14" i="42"/>
  <c r="F13" i="42"/>
  <c r="D13" i="42"/>
  <c r="F12" i="42"/>
  <c r="D12" i="42"/>
  <c r="F11" i="42"/>
  <c r="D11" i="42"/>
  <c r="F10" i="42"/>
  <c r="D10" i="42"/>
  <c r="F9" i="42"/>
  <c r="D9" i="42"/>
  <c r="F8" i="42"/>
  <c r="D8" i="42"/>
  <c r="F7" i="42"/>
  <c r="D7" i="42"/>
  <c r="D3" i="42"/>
  <c r="E107" i="53"/>
  <c r="C107" i="53"/>
  <c r="E106" i="53"/>
  <c r="C106" i="53"/>
  <c r="E105" i="53"/>
  <c r="C105" i="53"/>
  <c r="E104" i="53"/>
  <c r="C104" i="53"/>
  <c r="E103" i="53"/>
  <c r="C103" i="53"/>
  <c r="E102" i="53"/>
  <c r="C102" i="53"/>
  <c r="E101" i="53"/>
  <c r="C101" i="53"/>
  <c r="E100" i="53"/>
  <c r="C100" i="53"/>
  <c r="E99" i="53"/>
  <c r="C99" i="53"/>
  <c r="E98" i="53"/>
  <c r="C98" i="53"/>
  <c r="E97" i="53"/>
  <c r="C97" i="53"/>
  <c r="E96" i="53"/>
  <c r="C96" i="53"/>
  <c r="E95" i="53"/>
  <c r="C95" i="53"/>
  <c r="E94" i="53"/>
  <c r="C94" i="53"/>
  <c r="E93" i="53"/>
  <c r="C93" i="53"/>
  <c r="E92" i="53"/>
  <c r="C92" i="53"/>
  <c r="E91" i="53"/>
  <c r="C91" i="53"/>
  <c r="E90" i="53"/>
  <c r="C90" i="53"/>
  <c r="E89" i="53"/>
  <c r="C89" i="53"/>
  <c r="E88" i="53"/>
  <c r="C88" i="53"/>
  <c r="E87" i="53"/>
  <c r="C87" i="53"/>
  <c r="E86" i="53"/>
  <c r="C86" i="53"/>
  <c r="E85" i="53"/>
  <c r="C85" i="53"/>
  <c r="E84" i="53"/>
  <c r="C84" i="53"/>
  <c r="E83" i="53"/>
  <c r="C83" i="53"/>
  <c r="E82" i="53"/>
  <c r="C82" i="53"/>
  <c r="E81" i="53"/>
  <c r="C81" i="53"/>
  <c r="E80" i="53"/>
  <c r="C80" i="53"/>
  <c r="E79" i="53"/>
  <c r="C79" i="53"/>
  <c r="C75" i="53"/>
  <c r="E71" i="53"/>
  <c r="C71" i="53"/>
  <c r="E70" i="53"/>
  <c r="C70" i="53"/>
  <c r="E69" i="53"/>
  <c r="C69" i="53"/>
  <c r="E68" i="53"/>
  <c r="C68" i="53"/>
  <c r="E67" i="53"/>
  <c r="C67" i="53"/>
  <c r="E66" i="53"/>
  <c r="C66" i="53"/>
  <c r="E65" i="53"/>
  <c r="C65" i="53"/>
  <c r="E64" i="53"/>
  <c r="C64" i="53"/>
  <c r="E63" i="53"/>
  <c r="C63" i="53"/>
  <c r="E62" i="53"/>
  <c r="C62" i="53"/>
  <c r="E61" i="53"/>
  <c r="C61" i="53"/>
  <c r="E60" i="53"/>
  <c r="C60" i="53"/>
  <c r="E59" i="53"/>
  <c r="C59" i="53"/>
  <c r="E58" i="53"/>
  <c r="C58" i="53"/>
  <c r="E57" i="53"/>
  <c r="C57" i="53"/>
  <c r="E56" i="53"/>
  <c r="C56" i="53"/>
  <c r="E55" i="53"/>
  <c r="C55" i="53"/>
  <c r="E54" i="53"/>
  <c r="C54" i="53"/>
  <c r="E53" i="53"/>
  <c r="C53" i="53"/>
  <c r="E52" i="53"/>
  <c r="C52" i="53"/>
  <c r="E51" i="53"/>
  <c r="C51" i="53"/>
  <c r="E50" i="53"/>
  <c r="C50" i="53"/>
  <c r="E49" i="53"/>
  <c r="C49" i="53"/>
  <c r="E48" i="53"/>
  <c r="C48" i="53"/>
  <c r="E47" i="53"/>
  <c r="C47" i="53"/>
  <c r="E46" i="53"/>
  <c r="C46" i="53"/>
  <c r="E45" i="53"/>
  <c r="C45" i="53"/>
  <c r="E44" i="53"/>
  <c r="C44" i="53"/>
  <c r="E43" i="53"/>
  <c r="C43" i="53"/>
  <c r="C39" i="53"/>
  <c r="E35" i="53"/>
  <c r="C35" i="53"/>
  <c r="E34" i="53"/>
  <c r="C34" i="53"/>
  <c r="E33" i="53"/>
  <c r="C33" i="53"/>
  <c r="E32" i="53"/>
  <c r="C32" i="53"/>
  <c r="E31" i="53"/>
  <c r="C31" i="53"/>
  <c r="E30" i="53"/>
  <c r="C30" i="53"/>
  <c r="E29" i="53"/>
  <c r="C29" i="53"/>
  <c r="E28" i="53"/>
  <c r="C28" i="53"/>
  <c r="E27" i="53"/>
  <c r="C27" i="53"/>
  <c r="E26" i="53"/>
  <c r="C26" i="53"/>
  <c r="E25" i="53"/>
  <c r="C25" i="53"/>
  <c r="E24" i="53"/>
  <c r="C24" i="53"/>
  <c r="E23" i="53"/>
  <c r="C23" i="53"/>
  <c r="E22" i="53"/>
  <c r="C22" i="53"/>
  <c r="E21" i="53"/>
  <c r="C21" i="53"/>
  <c r="E20" i="53"/>
  <c r="C20" i="53"/>
  <c r="E19" i="53"/>
  <c r="C19" i="53"/>
  <c r="E18" i="53"/>
  <c r="C18" i="53"/>
  <c r="E17" i="53"/>
  <c r="C17" i="53"/>
  <c r="E16" i="53"/>
  <c r="C16" i="53"/>
  <c r="E15" i="53"/>
  <c r="C15" i="53"/>
  <c r="E14" i="53"/>
  <c r="C14" i="53"/>
  <c r="E13" i="53"/>
  <c r="C13" i="53"/>
  <c r="E12" i="53"/>
  <c r="C12" i="53"/>
  <c r="E11" i="53"/>
  <c r="C11" i="53"/>
  <c r="E10" i="53"/>
  <c r="C10" i="53"/>
  <c r="E9" i="53"/>
  <c r="C9" i="53"/>
  <c r="E8" i="53"/>
  <c r="C8" i="53"/>
  <c r="E7" i="53"/>
  <c r="C7" i="53"/>
  <c r="C3" i="53"/>
  <c r="H82" i="35"/>
  <c r="G82" i="35"/>
  <c r="F82" i="35"/>
  <c r="E82" i="35"/>
  <c r="D82" i="35"/>
  <c r="C82" i="35"/>
  <c r="F81" i="35"/>
  <c r="E81" i="35"/>
  <c r="D81" i="35"/>
  <c r="C81" i="35"/>
  <c r="G80" i="35"/>
  <c r="F80" i="35"/>
  <c r="E80" i="35"/>
  <c r="D80" i="35"/>
  <c r="C80" i="35"/>
  <c r="G79" i="35"/>
  <c r="F79" i="35"/>
  <c r="E79" i="35"/>
  <c r="D79" i="35"/>
  <c r="C79" i="35"/>
  <c r="G78" i="35"/>
  <c r="F78" i="35"/>
  <c r="E78" i="35"/>
  <c r="D78" i="35"/>
  <c r="C78" i="35"/>
  <c r="H77" i="35"/>
  <c r="G77" i="35"/>
  <c r="F77" i="35"/>
  <c r="E77" i="35"/>
  <c r="G76" i="35"/>
  <c r="F76" i="35"/>
  <c r="E76" i="35"/>
  <c r="D76" i="35"/>
  <c r="C76" i="35"/>
  <c r="G75" i="35"/>
  <c r="E75" i="35"/>
  <c r="C75" i="35"/>
  <c r="G74" i="35"/>
  <c r="E74" i="35"/>
  <c r="C74" i="35"/>
  <c r="G73" i="35"/>
  <c r="E73" i="35"/>
  <c r="C73" i="35"/>
  <c r="G72" i="35"/>
  <c r="E72" i="35"/>
  <c r="C72" i="35"/>
  <c r="G71" i="35"/>
  <c r="E71" i="35"/>
  <c r="C71" i="35"/>
  <c r="G70" i="35"/>
  <c r="E70" i="35"/>
  <c r="C70" i="35"/>
  <c r="G69" i="35"/>
  <c r="E69" i="35"/>
  <c r="C69" i="35"/>
  <c r="G68" i="35"/>
  <c r="E68" i="35"/>
  <c r="C68" i="35"/>
  <c r="G67" i="35"/>
  <c r="E67" i="35"/>
  <c r="C67" i="35"/>
  <c r="G66" i="35"/>
  <c r="E66" i="35"/>
  <c r="I65" i="35"/>
  <c r="G65" i="35"/>
  <c r="E65" i="35"/>
  <c r="C65" i="35"/>
  <c r="H61" i="35"/>
  <c r="G61" i="35"/>
  <c r="F61" i="35"/>
  <c r="E61" i="35"/>
  <c r="D61" i="35"/>
  <c r="C61" i="35"/>
  <c r="F60" i="35"/>
  <c r="E60" i="35"/>
  <c r="D60" i="35"/>
  <c r="C60" i="35"/>
  <c r="G59" i="35"/>
  <c r="F59" i="35"/>
  <c r="E59" i="35"/>
  <c r="D59" i="35"/>
  <c r="C59" i="35"/>
  <c r="G58" i="35"/>
  <c r="F58" i="35"/>
  <c r="E58" i="35"/>
  <c r="D58" i="35"/>
  <c r="C58" i="35"/>
  <c r="G57" i="35"/>
  <c r="F57" i="35"/>
  <c r="E57" i="35"/>
  <c r="D57" i="35"/>
  <c r="C57" i="35"/>
  <c r="H56" i="35"/>
  <c r="G56" i="35"/>
  <c r="F56" i="35"/>
  <c r="E56" i="35"/>
  <c r="G55" i="35"/>
  <c r="F55" i="35"/>
  <c r="E55" i="35"/>
  <c r="D55" i="35"/>
  <c r="C55" i="35"/>
  <c r="G54" i="35"/>
  <c r="E54" i="35"/>
  <c r="C54" i="35"/>
  <c r="G53" i="35"/>
  <c r="E53" i="35"/>
  <c r="C53" i="35"/>
  <c r="G52" i="35"/>
  <c r="E52" i="35"/>
  <c r="C52" i="35"/>
  <c r="G51" i="35"/>
  <c r="E51" i="35"/>
  <c r="C51" i="35"/>
  <c r="G50" i="35"/>
  <c r="E50" i="35"/>
  <c r="C50" i="35"/>
  <c r="G49" i="35"/>
  <c r="E49" i="35"/>
  <c r="C49" i="35"/>
  <c r="G48" i="35"/>
  <c r="E48" i="35"/>
  <c r="C48" i="35"/>
  <c r="G47" i="35"/>
  <c r="E47" i="35"/>
  <c r="C47" i="35"/>
  <c r="G46" i="35"/>
  <c r="E46" i="35"/>
  <c r="C46" i="35"/>
  <c r="G45" i="35"/>
  <c r="E45" i="35"/>
  <c r="I44" i="35"/>
  <c r="G44" i="35"/>
  <c r="E44" i="35"/>
  <c r="C44" i="35"/>
  <c r="H40" i="35"/>
  <c r="G40" i="35"/>
  <c r="F40" i="35"/>
  <c r="E40" i="35"/>
  <c r="D40" i="35"/>
  <c r="C40" i="35"/>
  <c r="F39" i="35"/>
  <c r="E39" i="35"/>
  <c r="D39" i="35"/>
  <c r="C39" i="35"/>
  <c r="G38" i="35"/>
  <c r="F38" i="35"/>
  <c r="E38" i="35"/>
  <c r="D38" i="35"/>
  <c r="C38" i="35"/>
  <c r="G37" i="35"/>
  <c r="F37" i="35"/>
  <c r="E37" i="35"/>
  <c r="D37" i="35"/>
  <c r="C37" i="35"/>
  <c r="G36" i="35"/>
  <c r="F36" i="35"/>
  <c r="E36" i="35"/>
  <c r="D36" i="35"/>
  <c r="C36" i="35"/>
  <c r="H35" i="35"/>
  <c r="G35" i="35"/>
  <c r="F35" i="35"/>
  <c r="E35" i="35"/>
  <c r="G34" i="35"/>
  <c r="F34" i="35"/>
  <c r="E34" i="35"/>
  <c r="D34" i="35"/>
  <c r="C34" i="35"/>
  <c r="G33" i="35"/>
  <c r="E33" i="35"/>
  <c r="C33" i="35"/>
  <c r="G32" i="35"/>
  <c r="E32" i="35"/>
  <c r="C32" i="35"/>
  <c r="G31" i="35"/>
  <c r="E31" i="35"/>
  <c r="C31" i="35"/>
  <c r="G30" i="35"/>
  <c r="E30" i="35"/>
  <c r="C30" i="35"/>
  <c r="G29" i="35"/>
  <c r="E29" i="35"/>
  <c r="C29" i="35"/>
  <c r="G28" i="35"/>
  <c r="E28" i="35"/>
  <c r="C28" i="35"/>
  <c r="G27" i="35"/>
  <c r="E27" i="35"/>
  <c r="C27" i="35"/>
  <c r="G26" i="35"/>
  <c r="E26" i="35"/>
  <c r="C26" i="35"/>
  <c r="G25" i="35"/>
  <c r="E25" i="35"/>
  <c r="C25" i="35"/>
  <c r="G24" i="35"/>
  <c r="E24" i="35"/>
  <c r="I23" i="35"/>
  <c r="G23" i="35"/>
  <c r="E23" i="35"/>
  <c r="C23" i="35"/>
  <c r="H20" i="35"/>
  <c r="G20" i="35"/>
  <c r="F20" i="35"/>
  <c r="E20" i="35"/>
  <c r="D20" i="35"/>
  <c r="C20" i="35"/>
  <c r="F19" i="35"/>
  <c r="D19" i="35"/>
  <c r="C19" i="35"/>
  <c r="H18" i="35"/>
  <c r="F18" i="35"/>
  <c r="E18" i="35"/>
  <c r="D18" i="35"/>
  <c r="C18" i="35"/>
  <c r="H17" i="35"/>
  <c r="F17" i="35"/>
  <c r="E17" i="35"/>
  <c r="D17" i="35"/>
  <c r="C17" i="35"/>
  <c r="H16" i="35"/>
  <c r="F16" i="35"/>
  <c r="E16" i="35"/>
  <c r="D16" i="35"/>
  <c r="C16" i="35"/>
  <c r="H15" i="35"/>
  <c r="F15" i="35"/>
  <c r="E15" i="35"/>
  <c r="H14" i="35"/>
  <c r="F14" i="35"/>
  <c r="E14" i="35"/>
  <c r="D14" i="35"/>
  <c r="C14" i="35"/>
  <c r="H13" i="35"/>
  <c r="F13" i="35"/>
  <c r="D13" i="35"/>
  <c r="H12" i="35"/>
  <c r="F12" i="35"/>
  <c r="D12" i="35"/>
  <c r="H11" i="35"/>
  <c r="F11" i="35"/>
  <c r="D11" i="35"/>
  <c r="H10" i="35"/>
  <c r="F10" i="35"/>
  <c r="D10" i="35"/>
  <c r="H9" i="35"/>
  <c r="F9" i="35"/>
  <c r="D9" i="35"/>
  <c r="H8" i="35"/>
  <c r="F8" i="35"/>
  <c r="D8" i="35"/>
  <c r="H7" i="35"/>
  <c r="F7" i="35"/>
  <c r="D7" i="35"/>
  <c r="H6" i="35"/>
  <c r="F6" i="35"/>
  <c r="D6" i="35"/>
  <c r="H5" i="35"/>
  <c r="F5" i="35"/>
  <c r="D5" i="35"/>
  <c r="H4" i="35"/>
  <c r="F4" i="35"/>
  <c r="J3" i="35"/>
  <c r="H3" i="35"/>
  <c r="F3" i="35"/>
  <c r="D3" i="35"/>
  <c r="G62" i="52"/>
  <c r="E62" i="52"/>
  <c r="C62" i="52"/>
  <c r="E61" i="52"/>
  <c r="C61" i="52"/>
  <c r="G60" i="52"/>
  <c r="E60" i="52"/>
  <c r="D60" i="52"/>
  <c r="C60" i="52"/>
  <c r="G59" i="52"/>
  <c r="E59" i="52"/>
  <c r="D59" i="52"/>
  <c r="C59" i="52"/>
  <c r="G58" i="52"/>
  <c r="E58" i="52"/>
  <c r="D58" i="52"/>
  <c r="C58" i="52"/>
  <c r="G57" i="52"/>
  <c r="E57" i="52"/>
  <c r="G56" i="52"/>
  <c r="E56" i="52"/>
  <c r="D56" i="52"/>
  <c r="C56" i="52"/>
  <c r="G55" i="52"/>
  <c r="E55" i="52"/>
  <c r="C55" i="52"/>
  <c r="G54" i="52"/>
  <c r="E54" i="52"/>
  <c r="C54" i="52"/>
  <c r="G53" i="52"/>
  <c r="E53" i="52"/>
  <c r="C53" i="52"/>
  <c r="G52" i="52"/>
  <c r="E52" i="52"/>
  <c r="C52" i="52"/>
  <c r="G51" i="52"/>
  <c r="E51" i="52"/>
  <c r="C51" i="52"/>
  <c r="G50" i="52"/>
  <c r="E50" i="52"/>
  <c r="C50" i="52"/>
  <c r="G49" i="52"/>
  <c r="E49" i="52"/>
  <c r="C49" i="52"/>
  <c r="G48" i="52"/>
  <c r="E48" i="52"/>
  <c r="C48" i="52"/>
  <c r="G47" i="52"/>
  <c r="E47" i="52"/>
  <c r="C47" i="52"/>
  <c r="G46" i="52"/>
  <c r="E46" i="52"/>
  <c r="I45" i="52"/>
  <c r="G45" i="52"/>
  <c r="E45" i="52"/>
  <c r="C45" i="52"/>
  <c r="G41" i="52"/>
  <c r="E41" i="52"/>
  <c r="C41" i="52"/>
  <c r="E40" i="52"/>
  <c r="C40" i="52"/>
  <c r="G39" i="52"/>
  <c r="E39" i="52"/>
  <c r="D39" i="52"/>
  <c r="C39" i="52"/>
  <c r="G38" i="52"/>
  <c r="E38" i="52"/>
  <c r="D38" i="52"/>
  <c r="C38" i="52"/>
  <c r="G37" i="52"/>
  <c r="E37" i="52"/>
  <c r="D37" i="52"/>
  <c r="C37" i="52"/>
  <c r="G36" i="52"/>
  <c r="E36" i="52"/>
  <c r="G35" i="52"/>
  <c r="E35" i="52"/>
  <c r="D35" i="52"/>
  <c r="C35" i="52"/>
  <c r="G34" i="52"/>
  <c r="E34" i="52"/>
  <c r="C34" i="52"/>
  <c r="G33" i="52"/>
  <c r="E33" i="52"/>
  <c r="C33" i="52"/>
  <c r="G32" i="52"/>
  <c r="E32" i="52"/>
  <c r="C32" i="52"/>
  <c r="G31" i="52"/>
  <c r="E31" i="52"/>
  <c r="C31" i="52"/>
  <c r="G30" i="52"/>
  <c r="E30" i="52"/>
  <c r="C30" i="52"/>
  <c r="G29" i="52"/>
  <c r="E29" i="52"/>
  <c r="C29" i="52"/>
  <c r="G28" i="52"/>
  <c r="E28" i="52"/>
  <c r="C28" i="52"/>
  <c r="G27" i="52"/>
  <c r="E27" i="52"/>
  <c r="C27" i="52"/>
  <c r="G26" i="52"/>
  <c r="E26" i="52"/>
  <c r="C26" i="52"/>
  <c r="G25" i="52"/>
  <c r="E25" i="52"/>
  <c r="I24" i="52"/>
  <c r="G24" i="52"/>
  <c r="E24" i="52"/>
  <c r="C24" i="52"/>
  <c r="G20" i="52"/>
  <c r="E20" i="52"/>
  <c r="C20" i="52"/>
  <c r="E19" i="52"/>
  <c r="C19" i="52"/>
  <c r="G18" i="52"/>
  <c r="E18" i="52"/>
  <c r="D18" i="52"/>
  <c r="C18" i="52"/>
  <c r="G17" i="52"/>
  <c r="E17" i="52"/>
  <c r="D17" i="52"/>
  <c r="C17" i="52"/>
  <c r="G16" i="52"/>
  <c r="E16" i="52"/>
  <c r="D16" i="52"/>
  <c r="C16" i="52"/>
  <c r="G15" i="52"/>
  <c r="E15" i="52"/>
  <c r="G14" i="52"/>
  <c r="E14" i="52"/>
  <c r="D14" i="52"/>
  <c r="C14" i="52"/>
  <c r="G13" i="52"/>
  <c r="E13" i="52"/>
  <c r="C13" i="52"/>
  <c r="G12" i="52"/>
  <c r="E12" i="52"/>
  <c r="C12" i="52"/>
  <c r="G11" i="52"/>
  <c r="E11" i="52"/>
  <c r="C11" i="52"/>
  <c r="G10" i="52"/>
  <c r="E10" i="52"/>
  <c r="C10" i="52"/>
  <c r="G9" i="52"/>
  <c r="E9" i="52"/>
  <c r="C9" i="52"/>
  <c r="G8" i="52"/>
  <c r="E8" i="52"/>
  <c r="C8" i="52"/>
  <c r="G7" i="52"/>
  <c r="E7" i="52"/>
  <c r="C7" i="52"/>
  <c r="G6" i="52"/>
  <c r="E6" i="52"/>
  <c r="C6" i="52"/>
  <c r="G5" i="52"/>
  <c r="E5" i="52"/>
  <c r="C5" i="52"/>
  <c r="G4" i="52"/>
  <c r="E4" i="52"/>
  <c r="I3" i="52"/>
  <c r="G3" i="52"/>
  <c r="E3" i="52"/>
  <c r="C3" i="52"/>
  <c r="I123" i="36"/>
  <c r="G123" i="36"/>
  <c r="E123" i="36"/>
  <c r="C123" i="36"/>
  <c r="I122" i="36"/>
  <c r="G122" i="36"/>
  <c r="E122" i="36"/>
  <c r="C122" i="36"/>
  <c r="I121" i="36"/>
  <c r="G121" i="36"/>
  <c r="E121" i="36"/>
  <c r="C121" i="36"/>
  <c r="I120" i="36"/>
  <c r="G120" i="36"/>
  <c r="E120" i="36"/>
  <c r="C120" i="36"/>
  <c r="I119" i="36"/>
  <c r="G119" i="36"/>
  <c r="E119" i="36"/>
  <c r="C119" i="36"/>
  <c r="I118" i="36"/>
  <c r="G118" i="36"/>
  <c r="E118" i="36"/>
  <c r="C118" i="36"/>
  <c r="I117" i="36"/>
  <c r="G117" i="36"/>
  <c r="E117" i="36"/>
  <c r="C117" i="36"/>
  <c r="I116" i="36"/>
  <c r="G116" i="36"/>
  <c r="E116" i="36"/>
  <c r="C116" i="36"/>
  <c r="I115" i="36"/>
  <c r="G115" i="36"/>
  <c r="E115" i="36"/>
  <c r="C115" i="36"/>
  <c r="I114" i="36"/>
  <c r="G114" i="36"/>
  <c r="E114" i="36"/>
  <c r="C114" i="36"/>
  <c r="I113" i="36"/>
  <c r="G113" i="36"/>
  <c r="E113" i="36"/>
  <c r="C113" i="36"/>
  <c r="I112" i="36"/>
  <c r="G112" i="36"/>
  <c r="E112" i="36"/>
  <c r="C112" i="36"/>
  <c r="I111" i="36"/>
  <c r="G111" i="36"/>
  <c r="E111" i="36"/>
  <c r="C111" i="36"/>
  <c r="I110" i="36"/>
  <c r="G110" i="36"/>
  <c r="E110" i="36"/>
  <c r="C110" i="36"/>
  <c r="I109" i="36"/>
  <c r="G109" i="36"/>
  <c r="E109" i="36"/>
  <c r="C109" i="36"/>
  <c r="I108" i="36"/>
  <c r="G108" i="36"/>
  <c r="E108" i="36"/>
  <c r="C108" i="36"/>
  <c r="I107" i="36"/>
  <c r="G107" i="36"/>
  <c r="E107" i="36"/>
  <c r="C107" i="36"/>
  <c r="I106" i="36"/>
  <c r="G106" i="36"/>
  <c r="E106" i="36"/>
  <c r="C106" i="36"/>
  <c r="I105" i="36"/>
  <c r="G105" i="36"/>
  <c r="E105" i="36"/>
  <c r="C105" i="36"/>
  <c r="I104" i="36"/>
  <c r="G104" i="36"/>
  <c r="E104" i="36"/>
  <c r="C104" i="36"/>
  <c r="I103" i="36"/>
  <c r="G103" i="36"/>
  <c r="E103" i="36"/>
  <c r="C103" i="36"/>
  <c r="I102" i="36"/>
  <c r="G102" i="36"/>
  <c r="E102" i="36"/>
  <c r="C102" i="36"/>
  <c r="I101" i="36"/>
  <c r="G101" i="36"/>
  <c r="E101" i="36"/>
  <c r="C101" i="36"/>
  <c r="I100" i="36"/>
  <c r="G100" i="36"/>
  <c r="E100" i="36"/>
  <c r="C100" i="36"/>
  <c r="I99" i="36"/>
  <c r="G99" i="36"/>
  <c r="E99" i="36"/>
  <c r="C99" i="36"/>
  <c r="I98" i="36"/>
  <c r="G98" i="36"/>
  <c r="E98" i="36"/>
  <c r="C98" i="36"/>
  <c r="I97" i="36"/>
  <c r="G97" i="36"/>
  <c r="E97" i="36"/>
  <c r="C97" i="36"/>
  <c r="I96" i="36"/>
  <c r="G96" i="36"/>
  <c r="E96" i="36"/>
  <c r="C96" i="36"/>
  <c r="I92" i="36"/>
  <c r="G92" i="36"/>
  <c r="E92" i="36"/>
  <c r="C92" i="36"/>
  <c r="I91" i="36"/>
  <c r="G91" i="36"/>
  <c r="E91" i="36"/>
  <c r="C91" i="36"/>
  <c r="I90" i="36"/>
  <c r="G90" i="36"/>
  <c r="E90" i="36"/>
  <c r="C90" i="36"/>
  <c r="I89" i="36"/>
  <c r="G89" i="36"/>
  <c r="E89" i="36"/>
  <c r="C89" i="36"/>
  <c r="I88" i="36"/>
  <c r="G88" i="36"/>
  <c r="E88" i="36"/>
  <c r="C88" i="36"/>
  <c r="I87" i="36"/>
  <c r="G87" i="36"/>
  <c r="E87" i="36"/>
  <c r="C87" i="36"/>
  <c r="I86" i="36"/>
  <c r="G86" i="36"/>
  <c r="E86" i="36"/>
  <c r="C86" i="36"/>
  <c r="I85" i="36"/>
  <c r="G85" i="36"/>
  <c r="E85" i="36"/>
  <c r="C85" i="36"/>
  <c r="I84" i="36"/>
  <c r="G84" i="36"/>
  <c r="E84" i="36"/>
  <c r="C84" i="36"/>
  <c r="I83" i="36"/>
  <c r="G83" i="36"/>
  <c r="E83" i="36"/>
  <c r="C83" i="36"/>
  <c r="I82" i="36"/>
  <c r="G82" i="36"/>
  <c r="E82" i="36"/>
  <c r="C82" i="36"/>
  <c r="I81" i="36"/>
  <c r="G81" i="36"/>
  <c r="E81" i="36"/>
  <c r="C81" i="36"/>
  <c r="I80" i="36"/>
  <c r="G80" i="36"/>
  <c r="E80" i="36"/>
  <c r="C80" i="36"/>
  <c r="I79" i="36"/>
  <c r="G79" i="36"/>
  <c r="E79" i="36"/>
  <c r="C79" i="36"/>
  <c r="I78" i="36"/>
  <c r="G78" i="36"/>
  <c r="E78" i="36"/>
  <c r="C78" i="36"/>
  <c r="I77" i="36"/>
  <c r="G77" i="36"/>
  <c r="E77" i="36"/>
  <c r="C77" i="36"/>
  <c r="I76" i="36"/>
  <c r="G76" i="36"/>
  <c r="E76" i="36"/>
  <c r="C76" i="36"/>
  <c r="I75" i="36"/>
  <c r="G75" i="36"/>
  <c r="E75" i="36"/>
  <c r="C75" i="36"/>
  <c r="I74" i="36"/>
  <c r="G74" i="36"/>
  <c r="E74" i="36"/>
  <c r="C74" i="36"/>
  <c r="I73" i="36"/>
  <c r="G73" i="36"/>
  <c r="E73" i="36"/>
  <c r="C73" i="36"/>
  <c r="I72" i="36"/>
  <c r="G72" i="36"/>
  <c r="E72" i="36"/>
  <c r="C72" i="36"/>
  <c r="I71" i="36"/>
  <c r="G71" i="36"/>
  <c r="E71" i="36"/>
  <c r="C71" i="36"/>
  <c r="I70" i="36"/>
  <c r="G70" i="36"/>
  <c r="E70" i="36"/>
  <c r="C70" i="36"/>
  <c r="I69" i="36"/>
  <c r="G69" i="36"/>
  <c r="E69" i="36"/>
  <c r="C69" i="36"/>
  <c r="I68" i="36"/>
  <c r="G68" i="36"/>
  <c r="E68" i="36"/>
  <c r="C68" i="36"/>
  <c r="I67" i="36"/>
  <c r="G67" i="36"/>
  <c r="E67" i="36"/>
  <c r="C67" i="36"/>
  <c r="I66" i="36"/>
  <c r="G66" i="36"/>
  <c r="E66" i="36"/>
  <c r="C66" i="36"/>
  <c r="I65" i="36"/>
  <c r="G65" i="36"/>
  <c r="E65" i="36"/>
  <c r="C65" i="36"/>
  <c r="I61" i="36"/>
  <c r="G61" i="36"/>
  <c r="E61" i="36"/>
  <c r="C61" i="36"/>
  <c r="I60" i="36"/>
  <c r="G60" i="36"/>
  <c r="E60" i="36"/>
  <c r="C60" i="36"/>
  <c r="I59" i="36"/>
  <c r="G59" i="36"/>
  <c r="E59" i="36"/>
  <c r="C59" i="36"/>
  <c r="I58" i="36"/>
  <c r="G58" i="36"/>
  <c r="E58" i="36"/>
  <c r="C58" i="36"/>
  <c r="I57" i="36"/>
  <c r="G57" i="36"/>
  <c r="E57" i="36"/>
  <c r="C57" i="36"/>
  <c r="I56" i="36"/>
  <c r="G56" i="36"/>
  <c r="E56" i="36"/>
  <c r="C56" i="36"/>
  <c r="I55" i="36"/>
  <c r="G55" i="36"/>
  <c r="E55" i="36"/>
  <c r="C55" i="36"/>
  <c r="I54" i="36"/>
  <c r="G54" i="36"/>
  <c r="E54" i="36"/>
  <c r="C54" i="36"/>
  <c r="I53" i="36"/>
  <c r="G53" i="36"/>
  <c r="E53" i="36"/>
  <c r="C53" i="36"/>
  <c r="I52" i="36"/>
  <c r="G52" i="36"/>
  <c r="E52" i="36"/>
  <c r="C52" i="36"/>
  <c r="I51" i="36"/>
  <c r="G51" i="36"/>
  <c r="E51" i="36"/>
  <c r="C51" i="36"/>
  <c r="I50" i="36"/>
  <c r="G50" i="36"/>
  <c r="E50" i="36"/>
  <c r="C50" i="36"/>
  <c r="I49" i="36"/>
  <c r="G49" i="36"/>
  <c r="E49" i="36"/>
  <c r="C49" i="36"/>
  <c r="I48" i="36"/>
  <c r="G48" i="36"/>
  <c r="E48" i="36"/>
  <c r="C48" i="36"/>
  <c r="I47" i="36"/>
  <c r="G47" i="36"/>
  <c r="E47" i="36"/>
  <c r="C47" i="36"/>
  <c r="I46" i="36"/>
  <c r="G46" i="36"/>
  <c r="E46" i="36"/>
  <c r="C46" i="36"/>
  <c r="I45" i="36"/>
  <c r="G45" i="36"/>
  <c r="E45" i="36"/>
  <c r="C45" i="36"/>
  <c r="I44" i="36"/>
  <c r="G44" i="36"/>
  <c r="E44" i="36"/>
  <c r="C44" i="36"/>
  <c r="I43" i="36"/>
  <c r="G43" i="36"/>
  <c r="E43" i="36"/>
  <c r="C43" i="36"/>
  <c r="I42" i="36"/>
  <c r="G42" i="36"/>
  <c r="E42" i="36"/>
  <c r="C42" i="36"/>
  <c r="I41" i="36"/>
  <c r="G41" i="36"/>
  <c r="E41" i="36"/>
  <c r="C41" i="36"/>
  <c r="I40" i="36"/>
  <c r="G40" i="36"/>
  <c r="E40" i="36"/>
  <c r="C40" i="36"/>
  <c r="I39" i="36"/>
  <c r="G39" i="36"/>
  <c r="E39" i="36"/>
  <c r="C39" i="36"/>
  <c r="I38" i="36"/>
  <c r="G38" i="36"/>
  <c r="E38" i="36"/>
  <c r="C38" i="36"/>
  <c r="I37" i="36"/>
  <c r="G37" i="36"/>
  <c r="E37" i="36"/>
  <c r="C37" i="36"/>
  <c r="I36" i="36"/>
  <c r="G36" i="36"/>
  <c r="E36" i="36"/>
  <c r="C36" i="36"/>
  <c r="I35" i="36"/>
  <c r="G35" i="36"/>
  <c r="E35" i="36"/>
  <c r="C35" i="36"/>
  <c r="I34" i="36"/>
  <c r="G34" i="36"/>
  <c r="E34" i="36"/>
  <c r="C34" i="36"/>
  <c r="J30" i="36"/>
  <c r="H30" i="36"/>
  <c r="F30" i="36"/>
  <c r="D30" i="36"/>
  <c r="J29" i="36"/>
  <c r="H29" i="36"/>
  <c r="F29" i="36"/>
  <c r="D29" i="36"/>
  <c r="J28" i="36"/>
  <c r="H28" i="36"/>
  <c r="F28" i="36"/>
  <c r="D28" i="36"/>
  <c r="J27" i="36"/>
  <c r="H27" i="36"/>
  <c r="F27" i="36"/>
  <c r="D27" i="36"/>
  <c r="J26" i="36"/>
  <c r="H26" i="36"/>
  <c r="F26" i="36"/>
  <c r="D26" i="36"/>
  <c r="J25" i="36"/>
  <c r="H25" i="36"/>
  <c r="F25" i="36"/>
  <c r="D25" i="36"/>
  <c r="J24" i="36"/>
  <c r="H24" i="36"/>
  <c r="F24" i="36"/>
  <c r="D24" i="36"/>
  <c r="J23" i="36"/>
  <c r="H23" i="36"/>
  <c r="F23" i="36"/>
  <c r="D23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19" i="36"/>
  <c r="H19" i="36"/>
  <c r="F19" i="36"/>
  <c r="D19" i="36"/>
  <c r="J18" i="36"/>
  <c r="H18" i="36"/>
  <c r="F18" i="36"/>
  <c r="D18" i="36"/>
  <c r="J17" i="36"/>
  <c r="H17" i="36"/>
  <c r="F17" i="36"/>
  <c r="D17" i="36"/>
  <c r="J16" i="36"/>
  <c r="H16" i="36"/>
  <c r="F16" i="36"/>
  <c r="D16" i="36"/>
  <c r="J15" i="36"/>
  <c r="H15" i="36"/>
  <c r="F15" i="36"/>
  <c r="D15" i="36"/>
  <c r="J14" i="36"/>
  <c r="H14" i="36"/>
  <c r="F14" i="36"/>
  <c r="D14" i="36"/>
  <c r="J13" i="36"/>
  <c r="H13" i="36"/>
  <c r="F13" i="36"/>
  <c r="D13" i="36"/>
  <c r="J12" i="36"/>
  <c r="H12" i="36"/>
  <c r="F12" i="36"/>
  <c r="D12" i="36"/>
  <c r="J11" i="36"/>
  <c r="H11" i="36"/>
  <c r="F11" i="36"/>
  <c r="D11" i="36"/>
  <c r="J10" i="36"/>
  <c r="H10" i="36"/>
  <c r="F10" i="36"/>
  <c r="D10" i="36"/>
  <c r="J9" i="36"/>
  <c r="H9" i="36"/>
  <c r="F9" i="36"/>
  <c r="D9" i="36"/>
  <c r="J8" i="36"/>
  <c r="H8" i="36"/>
  <c r="F8" i="36"/>
  <c r="D8" i="36"/>
  <c r="J7" i="36"/>
  <c r="H7" i="36"/>
  <c r="F7" i="36"/>
  <c r="D7" i="36"/>
  <c r="J6" i="36"/>
  <c r="H6" i="36"/>
  <c r="F6" i="36"/>
  <c r="D6" i="36"/>
  <c r="J5" i="36"/>
  <c r="H5" i="36"/>
  <c r="F5" i="36"/>
  <c r="D5" i="36"/>
  <c r="J4" i="36"/>
  <c r="H4" i="36"/>
  <c r="F4" i="36"/>
  <c r="D4" i="36"/>
  <c r="J3" i="36"/>
  <c r="H3" i="36"/>
  <c r="F3" i="36"/>
  <c r="D3" i="36"/>
  <c r="I92" i="51"/>
  <c r="G92" i="51"/>
  <c r="E92" i="51"/>
  <c r="C92" i="51"/>
  <c r="I91" i="51"/>
  <c r="G91" i="51"/>
  <c r="E91" i="51"/>
  <c r="C91" i="51"/>
  <c r="I90" i="51"/>
  <c r="G90" i="51"/>
  <c r="E90" i="51"/>
  <c r="C90" i="51"/>
  <c r="I89" i="51"/>
  <c r="G89" i="51"/>
  <c r="E89" i="51"/>
  <c r="C89" i="51"/>
  <c r="I88" i="51"/>
  <c r="G88" i="51"/>
  <c r="E88" i="51"/>
  <c r="C88" i="51"/>
  <c r="I87" i="51"/>
  <c r="G87" i="51"/>
  <c r="E87" i="51"/>
  <c r="C87" i="51"/>
  <c r="I86" i="51"/>
  <c r="G86" i="51"/>
  <c r="E86" i="51"/>
  <c r="C86" i="51"/>
  <c r="I85" i="51"/>
  <c r="G85" i="51"/>
  <c r="E85" i="51"/>
  <c r="C85" i="51"/>
  <c r="I84" i="51"/>
  <c r="G84" i="51"/>
  <c r="E84" i="51"/>
  <c r="C84" i="51"/>
  <c r="I83" i="51"/>
  <c r="G83" i="51"/>
  <c r="E83" i="51"/>
  <c r="C83" i="51"/>
  <c r="I82" i="51"/>
  <c r="G82" i="51"/>
  <c r="E82" i="51"/>
  <c r="C82" i="51"/>
  <c r="I81" i="51"/>
  <c r="G81" i="51"/>
  <c r="E81" i="51"/>
  <c r="C81" i="51"/>
  <c r="I80" i="51"/>
  <c r="G80" i="51"/>
  <c r="E80" i="51"/>
  <c r="C80" i="51"/>
  <c r="I79" i="51"/>
  <c r="G79" i="51"/>
  <c r="E79" i="51"/>
  <c r="C79" i="51"/>
  <c r="I78" i="51"/>
  <c r="G78" i="51"/>
  <c r="E78" i="51"/>
  <c r="C78" i="51"/>
  <c r="I77" i="51"/>
  <c r="G77" i="51"/>
  <c r="E77" i="51"/>
  <c r="C77" i="51"/>
  <c r="I76" i="51"/>
  <c r="G76" i="51"/>
  <c r="E76" i="51"/>
  <c r="C76" i="51"/>
  <c r="I75" i="51"/>
  <c r="G75" i="51"/>
  <c r="E75" i="51"/>
  <c r="C75" i="51"/>
  <c r="I74" i="51"/>
  <c r="G74" i="51"/>
  <c r="E74" i="51"/>
  <c r="C74" i="51"/>
  <c r="I73" i="51"/>
  <c r="G73" i="51"/>
  <c r="E73" i="51"/>
  <c r="C73" i="51"/>
  <c r="I72" i="51"/>
  <c r="G72" i="51"/>
  <c r="E72" i="51"/>
  <c r="C72" i="51"/>
  <c r="I71" i="51"/>
  <c r="G71" i="51"/>
  <c r="E71" i="51"/>
  <c r="C71" i="51"/>
  <c r="I70" i="51"/>
  <c r="G70" i="51"/>
  <c r="E70" i="51"/>
  <c r="C70" i="51"/>
  <c r="I69" i="51"/>
  <c r="G69" i="51"/>
  <c r="E69" i="51"/>
  <c r="C69" i="51"/>
  <c r="I68" i="51"/>
  <c r="G68" i="51"/>
  <c r="E68" i="51"/>
  <c r="C68" i="51"/>
  <c r="I67" i="51"/>
  <c r="G67" i="51"/>
  <c r="E67" i="51"/>
  <c r="C67" i="51"/>
  <c r="I66" i="51"/>
  <c r="G66" i="51"/>
  <c r="E66" i="51"/>
  <c r="C66" i="51"/>
  <c r="I65" i="51"/>
  <c r="G65" i="51"/>
  <c r="E65" i="51"/>
  <c r="C65" i="51"/>
  <c r="I61" i="51"/>
  <c r="G61" i="51"/>
  <c r="E61" i="51"/>
  <c r="C61" i="51"/>
  <c r="I60" i="51"/>
  <c r="G60" i="51"/>
  <c r="E60" i="51"/>
  <c r="C60" i="51"/>
  <c r="I59" i="51"/>
  <c r="G59" i="51"/>
  <c r="E59" i="51"/>
  <c r="C59" i="51"/>
  <c r="I58" i="51"/>
  <c r="G58" i="51"/>
  <c r="E58" i="51"/>
  <c r="C58" i="51"/>
  <c r="I57" i="51"/>
  <c r="G57" i="51"/>
  <c r="E57" i="51"/>
  <c r="C57" i="51"/>
  <c r="I56" i="51"/>
  <c r="G56" i="51"/>
  <c r="E56" i="51"/>
  <c r="C56" i="51"/>
  <c r="I55" i="51"/>
  <c r="G55" i="51"/>
  <c r="E55" i="51"/>
  <c r="C55" i="51"/>
  <c r="I54" i="51"/>
  <c r="G54" i="51"/>
  <c r="E54" i="51"/>
  <c r="C54" i="51"/>
  <c r="I53" i="51"/>
  <c r="G53" i="51"/>
  <c r="E53" i="51"/>
  <c r="C53" i="51"/>
  <c r="I52" i="51"/>
  <c r="G52" i="51"/>
  <c r="E52" i="51"/>
  <c r="C52" i="51"/>
  <c r="I51" i="51"/>
  <c r="G51" i="51"/>
  <c r="E51" i="51"/>
  <c r="C51" i="51"/>
  <c r="I50" i="51"/>
  <c r="G50" i="51"/>
  <c r="E50" i="51"/>
  <c r="C50" i="51"/>
  <c r="I49" i="51"/>
  <c r="G49" i="51"/>
  <c r="E49" i="51"/>
  <c r="C49" i="51"/>
  <c r="I48" i="51"/>
  <c r="G48" i="51"/>
  <c r="E48" i="51"/>
  <c r="C48" i="51"/>
  <c r="I47" i="51"/>
  <c r="G47" i="51"/>
  <c r="E47" i="51"/>
  <c r="C47" i="51"/>
  <c r="I46" i="51"/>
  <c r="G46" i="51"/>
  <c r="E46" i="51"/>
  <c r="C46" i="51"/>
  <c r="I45" i="51"/>
  <c r="G45" i="51"/>
  <c r="E45" i="51"/>
  <c r="C45" i="51"/>
  <c r="I44" i="51"/>
  <c r="G44" i="51"/>
  <c r="E44" i="51"/>
  <c r="C44" i="51"/>
  <c r="I43" i="51"/>
  <c r="G43" i="51"/>
  <c r="E43" i="51"/>
  <c r="C43" i="51"/>
  <c r="I42" i="51"/>
  <c r="G42" i="51"/>
  <c r="E42" i="51"/>
  <c r="C42" i="51"/>
  <c r="I41" i="51"/>
  <c r="G41" i="51"/>
  <c r="E41" i="51"/>
  <c r="C41" i="51"/>
  <c r="I40" i="51"/>
  <c r="G40" i="51"/>
  <c r="E40" i="51"/>
  <c r="C40" i="51"/>
  <c r="I39" i="51"/>
  <c r="G39" i="51"/>
  <c r="E39" i="51"/>
  <c r="C39" i="51"/>
  <c r="I38" i="51"/>
  <c r="G38" i="51"/>
  <c r="E38" i="51"/>
  <c r="C38" i="51"/>
  <c r="I37" i="51"/>
  <c r="G37" i="51"/>
  <c r="E37" i="51"/>
  <c r="C37" i="51"/>
  <c r="I36" i="51"/>
  <c r="G36" i="51"/>
  <c r="E36" i="51"/>
  <c r="C36" i="51"/>
  <c r="I35" i="51"/>
  <c r="G35" i="51"/>
  <c r="E35" i="51"/>
  <c r="C35" i="51"/>
  <c r="I34" i="51"/>
  <c r="G34" i="51"/>
  <c r="E34" i="51"/>
  <c r="C34" i="51"/>
  <c r="I30" i="51"/>
  <c r="G30" i="51"/>
  <c r="E30" i="51"/>
  <c r="C30" i="51"/>
  <c r="I29" i="51"/>
  <c r="G29" i="51"/>
  <c r="E29" i="51"/>
  <c r="C29" i="51"/>
  <c r="I28" i="51"/>
  <c r="G28" i="51"/>
  <c r="E28" i="51"/>
  <c r="C28" i="51"/>
  <c r="I27" i="51"/>
  <c r="G27" i="51"/>
  <c r="E27" i="51"/>
  <c r="C27" i="51"/>
  <c r="I26" i="51"/>
  <c r="G26" i="51"/>
  <c r="E26" i="51"/>
  <c r="C26" i="51"/>
  <c r="I25" i="51"/>
  <c r="G25" i="51"/>
  <c r="E25" i="51"/>
  <c r="C25" i="51"/>
  <c r="I24" i="51"/>
  <c r="G24" i="51"/>
  <c r="E24" i="51"/>
  <c r="C24" i="51"/>
  <c r="I23" i="51"/>
  <c r="G23" i="51"/>
  <c r="E23" i="51"/>
  <c r="C23" i="51"/>
  <c r="I22" i="51"/>
  <c r="G22" i="51"/>
  <c r="E22" i="51"/>
  <c r="C22" i="51"/>
  <c r="I21" i="51"/>
  <c r="G21" i="51"/>
  <c r="E21" i="51"/>
  <c r="C21" i="51"/>
  <c r="I20" i="51"/>
  <c r="G20" i="51"/>
  <c r="E20" i="51"/>
  <c r="C20" i="51"/>
  <c r="I19" i="51"/>
  <c r="G19" i="51"/>
  <c r="E19" i="51"/>
  <c r="C19" i="51"/>
  <c r="I18" i="51"/>
  <c r="G18" i="51"/>
  <c r="E18" i="51"/>
  <c r="C18" i="51"/>
  <c r="I17" i="51"/>
  <c r="G17" i="51"/>
  <c r="E17" i="51"/>
  <c r="C17" i="51"/>
  <c r="I16" i="51"/>
  <c r="G16" i="51"/>
  <c r="E16" i="51"/>
  <c r="C16" i="51"/>
  <c r="I15" i="51"/>
  <c r="G15" i="51"/>
  <c r="E15" i="51"/>
  <c r="C15" i="51"/>
  <c r="I14" i="51"/>
  <c r="G14" i="51"/>
  <c r="E14" i="51"/>
  <c r="C14" i="51"/>
  <c r="I13" i="51"/>
  <c r="G13" i="51"/>
  <c r="E13" i="51"/>
  <c r="C13" i="51"/>
  <c r="I12" i="51"/>
  <c r="G12" i="51"/>
  <c r="E12" i="51"/>
  <c r="C12" i="51"/>
  <c r="I11" i="51"/>
  <c r="G11" i="51"/>
  <c r="E11" i="51"/>
  <c r="C11" i="51"/>
  <c r="I10" i="51"/>
  <c r="G10" i="51"/>
  <c r="E10" i="51"/>
  <c r="C10" i="51"/>
  <c r="I9" i="51"/>
  <c r="G9" i="51"/>
  <c r="E9" i="51"/>
  <c r="C9" i="51"/>
  <c r="I8" i="51"/>
  <c r="G8" i="51"/>
  <c r="E8" i="51"/>
  <c r="C8" i="51"/>
  <c r="I7" i="51"/>
  <c r="G7" i="51"/>
  <c r="E7" i="51"/>
  <c r="C7" i="51"/>
  <c r="I6" i="51"/>
  <c r="G6" i="51"/>
  <c r="E6" i="51"/>
  <c r="C6" i="51"/>
  <c r="I5" i="51"/>
  <c r="G5" i="51"/>
  <c r="E5" i="51"/>
  <c r="C5" i="51"/>
  <c r="I4" i="51"/>
  <c r="G4" i="51"/>
  <c r="E4" i="51"/>
  <c r="C4" i="51"/>
  <c r="I3" i="51"/>
  <c r="G3" i="51"/>
  <c r="E3" i="51"/>
  <c r="C3" i="51"/>
  <c r="G13" i="49"/>
  <c r="F13" i="49"/>
  <c r="E13" i="49"/>
  <c r="D13" i="49"/>
  <c r="G12" i="49"/>
  <c r="F12" i="49"/>
  <c r="E12" i="49"/>
  <c r="G11" i="49"/>
  <c r="F11" i="49"/>
  <c r="E11" i="49"/>
  <c r="G9" i="49"/>
  <c r="F9" i="49"/>
  <c r="E9" i="49"/>
  <c r="D9" i="49"/>
  <c r="G8" i="49"/>
  <c r="F8" i="49"/>
  <c r="E8" i="49"/>
  <c r="D8" i="49"/>
  <c r="G7" i="49"/>
  <c r="F7" i="49"/>
  <c r="E7" i="49"/>
  <c r="D7" i="49"/>
  <c r="G6" i="49"/>
  <c r="F6" i="49"/>
  <c r="E6" i="49"/>
  <c r="D6" i="49"/>
  <c r="G5" i="49"/>
  <c r="F5" i="49"/>
  <c r="E5" i="49"/>
  <c r="D5" i="49"/>
  <c r="G4" i="49"/>
  <c r="F4" i="49"/>
  <c r="E4" i="49"/>
  <c r="D4" i="49"/>
  <c r="G3" i="49"/>
  <c r="F3" i="49"/>
  <c r="E3" i="49"/>
  <c r="G13" i="50"/>
  <c r="F13" i="50"/>
  <c r="E13" i="50"/>
  <c r="D13" i="50"/>
  <c r="G12" i="50"/>
  <c r="F12" i="50"/>
  <c r="E12" i="50"/>
  <c r="G11" i="50"/>
  <c r="F11" i="50"/>
  <c r="E11" i="50"/>
  <c r="G9" i="50"/>
  <c r="F9" i="50"/>
  <c r="E9" i="50"/>
  <c r="D9" i="50"/>
  <c r="G8" i="50"/>
  <c r="F8" i="50"/>
  <c r="E8" i="50"/>
  <c r="D8" i="50"/>
  <c r="G7" i="50"/>
  <c r="F7" i="50"/>
  <c r="E7" i="50"/>
  <c r="D7" i="50"/>
  <c r="G6" i="50"/>
  <c r="F6" i="50"/>
  <c r="E6" i="50"/>
  <c r="D6" i="50"/>
  <c r="G5" i="50"/>
  <c r="F5" i="50"/>
  <c r="E5" i="50"/>
  <c r="D5" i="50"/>
  <c r="G4" i="50"/>
  <c r="F4" i="50"/>
  <c r="E4" i="50"/>
  <c r="D4" i="50"/>
  <c r="G3" i="50"/>
  <c r="F3" i="50"/>
  <c r="E3" i="50"/>
</calcChain>
</file>

<file path=xl/sharedStrings.xml><?xml version="1.0" encoding="utf-8"?>
<sst xmlns="http://schemas.openxmlformats.org/spreadsheetml/2006/main" count="1503" uniqueCount="132">
  <si>
    <t>Адрес</t>
  </si>
  <si>
    <t>Площадь (кв.м.)</t>
  </si>
  <si>
    <t>Земельный участок (кв.м.)</t>
  </si>
  <si>
    <r>
      <rPr>
        <b/>
        <sz val="11"/>
        <color theme="1"/>
        <rFont val="Calibri"/>
        <charset val="204"/>
        <scheme val="minor"/>
      </rPr>
      <t xml:space="preserve">Базовый Прейскурант , руб. </t>
    </r>
    <r>
      <rPr>
        <b/>
        <sz val="11"/>
        <color rgb="FFFF0000"/>
        <rFont val="Calibri"/>
        <charset val="204"/>
        <scheme val="minor"/>
      </rPr>
      <t>136 кв.м. - акция до 31.12.</t>
    </r>
  </si>
  <si>
    <r>
      <rPr>
        <b/>
        <sz val="11"/>
        <color rgb="FFFF0000"/>
        <rFont val="Calibri"/>
        <charset val="204"/>
        <scheme val="minor"/>
      </rPr>
      <t xml:space="preserve">Удорожание 15,3% </t>
    </r>
    <r>
      <rPr>
        <b/>
        <sz val="11"/>
        <color theme="1"/>
        <rFont val="Calibri"/>
        <charset val="204"/>
        <scheme val="minor"/>
      </rPr>
      <t>при  ПВ от 20,1% до 30,1%</t>
    </r>
  </si>
  <si>
    <r>
      <rPr>
        <b/>
        <sz val="11"/>
        <color rgb="FFFF0000"/>
        <rFont val="Calibri"/>
        <charset val="204"/>
        <scheme val="minor"/>
      </rPr>
      <t xml:space="preserve">Удорожание 12,6% </t>
    </r>
    <r>
      <rPr>
        <b/>
        <sz val="11"/>
        <color theme="1"/>
        <rFont val="Calibri"/>
        <charset val="204"/>
        <scheme val="minor"/>
      </rPr>
      <t>при  ПВ от 30,1% до 50,1%</t>
    </r>
  </si>
  <si>
    <r>
      <rPr>
        <b/>
        <sz val="11"/>
        <color rgb="FFFF0000"/>
        <rFont val="Calibri"/>
        <charset val="204"/>
        <scheme val="minor"/>
      </rPr>
      <t xml:space="preserve">Удорожание 8,5% </t>
    </r>
    <r>
      <rPr>
        <b/>
        <sz val="11"/>
        <color theme="1"/>
        <rFont val="Calibri"/>
        <charset val="204"/>
        <scheme val="minor"/>
      </rPr>
      <t>при  ПВ от 50,1%</t>
    </r>
  </si>
  <si>
    <t>Ремонт</t>
  </si>
  <si>
    <r>
      <rPr>
        <sz val="12"/>
        <color rgb="FF000000"/>
        <rFont val="Calibri"/>
        <charset val="204"/>
        <scheme val="minor"/>
      </rPr>
      <t>Платиновый проезд</t>
    </r>
    <r>
      <rPr>
        <sz val="12"/>
        <color rgb="FF1F497D"/>
        <rFont val="Calibri"/>
        <charset val="204"/>
        <scheme val="minor"/>
      </rPr>
      <t xml:space="preserve"> </t>
    </r>
    <r>
      <rPr>
        <sz val="12"/>
        <color rgb="FF000000"/>
        <rFont val="Calibri"/>
        <charset val="204"/>
        <scheme val="minor"/>
      </rPr>
      <t xml:space="preserve">25,26,27,28,29; Рубиновый Проезд 30,31,32,39,40,41 </t>
    </r>
  </si>
  <si>
    <t>74,2 кв.м.</t>
  </si>
  <si>
    <t>200 – 250 кв.м.</t>
  </si>
  <si>
    <t>Отложенный ремонт</t>
  </si>
  <si>
    <t xml:space="preserve">Рубиновый Проезд 30,31,39,40,41 </t>
  </si>
  <si>
    <t>136 кв.м.</t>
  </si>
  <si>
    <t>200 – 300 кв.м.</t>
  </si>
  <si>
    <t>301 – 500 кв.м.</t>
  </si>
  <si>
    <t xml:space="preserve">Платиновый проезд 25,26,27,28,29; </t>
  </si>
  <si>
    <t>Без ремонта</t>
  </si>
  <si>
    <t xml:space="preserve">Платиновый проезд 25,26,27, 28,29; </t>
  </si>
  <si>
    <t>Рубиновый Проезд 32</t>
  </si>
  <si>
    <t>Рубиновый Проезд 39, таун 7</t>
  </si>
  <si>
    <t>ДИЗАЙН</t>
  </si>
  <si>
    <t>Рубиновый Проезд 39, таун 8</t>
  </si>
  <si>
    <t>Рубиновый Проезд 39, таун 9</t>
  </si>
  <si>
    <r>
      <rPr>
        <b/>
        <sz val="11"/>
        <color theme="1"/>
        <rFont val="Calibri"/>
        <charset val="204"/>
        <scheme val="minor"/>
      </rPr>
      <t xml:space="preserve">Базовый Прейскурант - сделки по семейной ипотеки, руб. </t>
    </r>
    <r>
      <rPr>
        <b/>
        <sz val="11"/>
        <color rgb="FFFF0000"/>
        <rFont val="Calibri"/>
        <charset val="204"/>
        <scheme val="minor"/>
      </rPr>
      <t>136 кв.м. - акция до 31.12.</t>
    </r>
  </si>
  <si>
    <t>Удорожание 15%</t>
  </si>
  <si>
    <t>Удорожание 20%</t>
  </si>
  <si>
    <r>
      <rPr>
        <b/>
        <sz val="11"/>
        <color theme="1"/>
        <rFont val="Calibri"/>
        <charset val="204"/>
        <scheme val="minor"/>
      </rPr>
      <t>Скидка за Наличные и по Базовой ипотеки -</t>
    </r>
    <r>
      <rPr>
        <b/>
        <sz val="11"/>
        <color rgb="FFFF0000"/>
        <rFont val="Calibri"/>
        <charset val="204"/>
        <scheme val="minor"/>
      </rPr>
      <t xml:space="preserve"> 5%</t>
    </r>
  </si>
  <si>
    <t xml:space="preserve"> ВТБ</t>
  </si>
  <si>
    <t>ТВЕРЬ ВТБ</t>
  </si>
  <si>
    <t xml:space="preserve"> ДОМ РФ</t>
  </si>
  <si>
    <t xml:space="preserve"> СБЕРБАНК</t>
  </si>
  <si>
    <t>ВТБ</t>
  </si>
  <si>
    <t>СБЕРБАНК</t>
  </si>
  <si>
    <t>Субсидия до 12,9%, на весь срок_ПВ от 30,1%</t>
  </si>
  <si>
    <t>Субсидия до 12,9%, на весь срок_ПВ от 20,1%</t>
  </si>
  <si>
    <t>Субсидия до 12,9%, на 5 лет_ПВ 30,1%</t>
  </si>
  <si>
    <t>Субсидия до 8%, на 2 года_ПВ 30,1%</t>
  </si>
  <si>
    <t>Субсидия до 12,9%, на весь срок_ПВ 15%</t>
  </si>
  <si>
    <t>Субсидия до 6,1%, на 2 года_ПВ 20,1%</t>
  </si>
  <si>
    <t>Субсидия до 8%, на 2 года_ПВ 20,1%</t>
  </si>
  <si>
    <t>Объект</t>
  </si>
  <si>
    <t>Пл. кв.м.</t>
  </si>
  <si>
    <t>Цена кв.м. 2 этаж</t>
  </si>
  <si>
    <t>Стоимость руб.</t>
  </si>
  <si>
    <t>Цена кв.м. 3-6 этаж</t>
  </si>
  <si>
    <t>Цена кв.м. 7-17 этаж</t>
  </si>
  <si>
    <t>Цена кв.м. 18 этаж</t>
  </si>
  <si>
    <t>Ремонт в том числе</t>
  </si>
  <si>
    <t>ул. Новочеркасская, 49 (дом 14) 1 секция 1к</t>
  </si>
  <si>
    <t>Готовый ремонт</t>
  </si>
  <si>
    <t>ул. Новочеркасская, 49 (дом 14) 2 секция студия</t>
  </si>
  <si>
    <t>ул. Новочеркасская, 49 (дом 14) 2 секция 1к</t>
  </si>
  <si>
    <t>ул. Новочеркасская, 49 (дом 14) 2 секция2к</t>
  </si>
  <si>
    <t>ул. Новочеркасская, 49 (дом 14) 2 секция 2к</t>
  </si>
  <si>
    <t>ул. Новочеркасская, 49 (дом 14) 3 секция студия</t>
  </si>
  <si>
    <t>Отложенный ремнт</t>
  </si>
  <si>
    <t>ул. Новочеркасская, 49 (дом 14) 3 секция 1к</t>
  </si>
  <si>
    <t>ул. Новочеркасская, 49 (дом 14) 3 секция2к</t>
  </si>
  <si>
    <t>ул. Новочеркасская, 49 (дом 14) 3 секция 2к</t>
  </si>
  <si>
    <t>ул. Новочеркасская, 48 (дом 15) 4 секция студия</t>
  </si>
  <si>
    <t>Дорогой ремонт + кухня</t>
  </si>
  <si>
    <t>ул. Новочеркасская, 48 (дом 15) 4 секция 1к</t>
  </si>
  <si>
    <t>ул. Новочеркасская, 48 (дом 15) 4 секция 2к</t>
  </si>
  <si>
    <t>ул. Новочеркасская, 48 (дом 15) 3 секция студия</t>
  </si>
  <si>
    <t>Стандартный ремонт</t>
  </si>
  <si>
    <t>ул. Новочеркасская, 48 (дом 15) 3 секция 1к</t>
  </si>
  <si>
    <t>ул. Новочеркасская, 48 (дом 15) 3 секция 2к</t>
  </si>
  <si>
    <t>ул. Новочеркасская, 48 (дом 15) 2 секция студия</t>
  </si>
  <si>
    <t xml:space="preserve">Стандартный ремонт </t>
  </si>
  <si>
    <t>ул. Новочеркасская, 48 (дом 15) 2 секция 1к</t>
  </si>
  <si>
    <t>Стандартный ремонт + кухня</t>
  </si>
  <si>
    <t>ул. Новочеркасская, 48 (дом 15) 2 секция 2к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</si>
  <si>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</si>
  <si>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</si>
  <si>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</si>
  <si>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>ул. Новочеркасская, 53 (дом 19) 1,2 секция 1к</t>
  </si>
  <si>
    <t>Площадь кв.м.</t>
  </si>
  <si>
    <t>Цена кв.м.  (высокий)             7-15 этаж</t>
  </si>
  <si>
    <t>Цена кв.м. 16 этаж</t>
  </si>
  <si>
    <t>ул. Левитана, д.2, 2к, 6 секция</t>
  </si>
  <si>
    <t>Готовый</t>
  </si>
  <si>
    <t>ул. Левитана, д.6, студия , 1 секция</t>
  </si>
  <si>
    <t>Отложенный</t>
  </si>
  <si>
    <t>ул. Левитана, д.6, 1к, 1 секция</t>
  </si>
  <si>
    <t>ул. Левитана, д.6, 2к, 1 секция</t>
  </si>
  <si>
    <t>ул. Левитана, д.6, 3к, 1 секция</t>
  </si>
  <si>
    <t>ул. Левитана, д.6, 1к, 2 секция</t>
  </si>
  <si>
    <t>ул. Левитана, д.6, 2к, 2 секция</t>
  </si>
  <si>
    <t>ул. Левитана, д.6, 3к, 2 секция</t>
  </si>
  <si>
    <t>ул. Левитана, д.6, студия, 3 секция</t>
  </si>
  <si>
    <t>ул. Левитана, д.6, 1к, 3 секция</t>
  </si>
  <si>
    <t>ул. Левитана, д.6, 2к, 3 секция</t>
  </si>
  <si>
    <t>ул. Левитана, д.6, 3к, 4 секция</t>
  </si>
  <si>
    <t>ул. Левитана, д.6, 3к, 5 секция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</si>
  <si>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</si>
  <si>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</si>
  <si>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</si>
  <si>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</si>
  <si>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</si>
  <si>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>7 МД Студия</t>
  </si>
  <si>
    <t>22 МД 1к</t>
  </si>
  <si>
    <t>22 МД 2к</t>
  </si>
  <si>
    <t>23 МД Студия</t>
  </si>
  <si>
    <t xml:space="preserve">23 МД 1к </t>
  </si>
  <si>
    <t>23 МД 1к</t>
  </si>
  <si>
    <t>23 МД 2к</t>
  </si>
  <si>
    <t>24 МД Студия</t>
  </si>
  <si>
    <t xml:space="preserve">24 МД 1к </t>
  </si>
  <si>
    <t>24 МД 2к</t>
  </si>
  <si>
    <t>25 МД Студия</t>
  </si>
  <si>
    <t xml:space="preserve">25 МД 1к </t>
  </si>
  <si>
    <t>25 МД 2к</t>
  </si>
  <si>
    <t>7 МД 2к</t>
  </si>
  <si>
    <t>12 МД 1к</t>
  </si>
  <si>
    <r>
      <t xml:space="preserve">Ценообразование ЖК Кольцово </t>
    </r>
    <r>
      <rPr>
        <b/>
        <sz val="14"/>
        <color rgb="FF00B050"/>
        <rFont val="Calibri"/>
        <charset val="204"/>
        <scheme val="minor"/>
      </rPr>
      <t>с 13.12.2024г</t>
    </r>
    <r>
      <rPr>
        <b/>
        <sz val="14"/>
        <rFont val="Calibri"/>
        <charset val="204"/>
        <scheme val="minor"/>
      </rPr>
      <t>., Семейная Ипотека ПАО Сбербанк, вознаграждение АН 2%</t>
    </r>
  </si>
  <si>
    <r>
      <t xml:space="preserve">Ценообразование ЖК Кольцово </t>
    </r>
    <r>
      <rPr>
        <b/>
        <sz val="14"/>
        <color rgb="FF00B050"/>
        <rFont val="Calibri"/>
        <charset val="204"/>
        <scheme val="minor"/>
      </rPr>
      <t>с 13.12.2024г</t>
    </r>
    <r>
      <rPr>
        <b/>
        <sz val="14"/>
        <rFont val="Calibri"/>
        <charset val="204"/>
        <scheme val="minor"/>
      </rPr>
      <t>., вознаграждение АН 2%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</si>
  <si>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13.12.2024г</t>
    </r>
    <r>
      <rPr>
        <b/>
        <sz val="14"/>
        <rFont val="Calibri"/>
        <charset val="204"/>
        <scheme val="minor"/>
      </rPr>
      <t xml:space="preserve">., Семейная Ипотека ПАО Сбербанк, </t>
    </r>
    <r>
      <rPr>
        <b/>
        <sz val="14"/>
        <color rgb="FFFF0000"/>
        <rFont val="Calibri"/>
        <charset val="204"/>
        <scheme val="minor"/>
      </rPr>
      <t>удорожание 15,3% при ПВ от 20,1% до 30,1%</t>
    </r>
    <r>
      <rPr>
        <b/>
        <sz val="14"/>
        <rFont val="Calibri"/>
        <charset val="204"/>
        <scheme val="minor"/>
      </rPr>
      <t>, оплата для АН 2%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</si>
  <si>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13.12.2024г</t>
    </r>
    <r>
      <rPr>
        <b/>
        <sz val="14"/>
        <rFont val="Calibri"/>
        <charset val="204"/>
        <scheme val="minor"/>
      </rPr>
      <t xml:space="preserve">., Семейная Ипотека ПАО Сбербанк, </t>
    </r>
    <r>
      <rPr>
        <b/>
        <sz val="14"/>
        <color rgb="FFFF0000"/>
        <rFont val="Calibri"/>
        <charset val="204"/>
        <scheme val="minor"/>
      </rPr>
      <t>удорожание 12,6% при ПВ от 30,1% до 50,1%</t>
    </r>
    <r>
      <rPr>
        <b/>
        <sz val="14"/>
        <rFont val="Calibri"/>
        <charset val="204"/>
        <scheme val="minor"/>
      </rPr>
      <t>, оплата для АН 2%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</si>
  <si>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13.12.2024г</t>
    </r>
    <r>
      <rPr>
        <b/>
        <sz val="14"/>
        <rFont val="Calibri"/>
        <charset val="204"/>
        <scheme val="minor"/>
      </rPr>
      <t xml:space="preserve">., Семейная Ипотека ПАО Сбербанк, </t>
    </r>
    <r>
      <rPr>
        <b/>
        <sz val="14"/>
        <color rgb="FFFF0000"/>
        <rFont val="Calibri"/>
        <charset val="204"/>
        <scheme val="minor"/>
      </rPr>
      <t>удорожание 8,5% при ПВ от 50,1%</t>
    </r>
    <r>
      <rPr>
        <b/>
        <sz val="14"/>
        <rFont val="Calibri"/>
        <charset val="204"/>
        <scheme val="minor"/>
      </rPr>
      <t>, оплата для АН 2%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</si>
  <si>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13.12.2024г</t>
    </r>
    <r>
      <rPr>
        <b/>
        <sz val="14"/>
        <rFont val="Calibri"/>
        <charset val="204"/>
        <scheme val="minor"/>
      </rPr>
      <t>., оплата для АН 2%,</t>
    </r>
    <r>
      <rPr>
        <b/>
        <sz val="14"/>
        <color rgb="FFFF0000"/>
        <rFont val="Calibri"/>
        <charset val="204"/>
        <scheme val="minor"/>
      </rPr>
      <t xml:space="preserve"> 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</si>
  <si>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13.12.2024г.,</t>
    </r>
    <r>
      <rPr>
        <b/>
        <sz val="14"/>
        <rFont val="Calibri"/>
        <charset val="204"/>
        <scheme val="minor"/>
      </rPr>
      <t xml:space="preserve"> оплата для АН 2%, </t>
    </r>
    <r>
      <rPr>
        <b/>
        <sz val="14"/>
        <color rgb="FFFF0000"/>
        <rFont val="Calibri"/>
        <charset val="204"/>
        <scheme val="minor"/>
      </rPr>
      <t>Удорожание 15%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</si>
  <si>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13.12.2024г.</t>
    </r>
    <r>
      <rPr>
        <b/>
        <sz val="14"/>
        <rFont val="Calibri"/>
        <charset val="204"/>
        <scheme val="minor"/>
      </rPr>
      <t xml:space="preserve">, оплата для АН 2%, </t>
    </r>
    <r>
      <rPr>
        <b/>
        <sz val="14"/>
        <color rgb="FFFF0000"/>
        <rFont val="Calibri"/>
        <charset val="204"/>
        <scheme val="minor"/>
      </rPr>
      <t>Удорожание 20%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</si>
  <si>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13.12.2024г.</t>
    </r>
    <r>
      <rPr>
        <b/>
        <sz val="14"/>
        <rFont val="Calibri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charset val="204"/>
        <scheme val="minor"/>
      </rPr>
      <t xml:space="preserve"> 5%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</si>
  <si>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13.12.2024г.,</t>
    </r>
    <r>
      <rPr>
        <b/>
        <sz val="14"/>
        <rFont val="Calibri"/>
        <charset val="204"/>
        <scheme val="minor"/>
      </rPr>
      <t xml:space="preserve"> оплата для АН 2%, </t>
    </r>
    <r>
      <rPr>
        <b/>
        <sz val="14"/>
        <color rgb="FFFF0000"/>
        <rFont val="Calibri"/>
        <charset val="204"/>
        <scheme val="minor"/>
      </rPr>
      <t>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</si>
  <si>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charset val="204"/>
        <scheme val="minor"/>
      </rPr>
      <t>с 13.12.2024г.</t>
    </r>
    <r>
      <rPr>
        <b/>
        <sz val="14"/>
        <rFont val="Calibri"/>
        <charset val="204"/>
        <scheme val="minor"/>
      </rPr>
      <t xml:space="preserve">, </t>
    </r>
    <r>
      <rPr>
        <b/>
        <sz val="14"/>
        <color rgb="FFFF0000"/>
        <rFont val="Calibri"/>
        <charset val="204"/>
        <scheme val="minor"/>
      </rPr>
      <t>Удорожание 15%</t>
    </r>
  </si>
  <si>
    <r>
      <t xml:space="preserve">Ценообразование </t>
    </r>
    <r>
      <rPr>
        <b/>
        <sz val="14"/>
        <color rgb="FF00B050"/>
        <rFont val="Calibri"/>
        <charset val="204"/>
        <scheme val="minor"/>
      </rPr>
      <t>с 13.12.2024г.</t>
    </r>
    <r>
      <rPr>
        <b/>
        <sz val="14"/>
        <rFont val="Calibri"/>
        <charset val="204"/>
        <scheme val="minor"/>
      </rPr>
      <t xml:space="preserve">, </t>
    </r>
    <r>
      <rPr>
        <b/>
        <sz val="14"/>
        <color rgb="FFFF0000"/>
        <rFont val="Calibri"/>
        <charset val="204"/>
        <scheme val="minor"/>
      </rPr>
      <t>Удорожание 20%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</si>
  <si>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13.12.2024г.,</t>
    </r>
    <r>
      <rPr>
        <b/>
        <sz val="14"/>
        <rFont val="Calibri"/>
        <charset val="204"/>
        <scheme val="minor"/>
      </rPr>
      <t xml:space="preserve"> оплата для АН 2%, </t>
    </r>
    <r>
      <rPr>
        <b/>
        <sz val="14"/>
        <color rgb="FFFF0000"/>
        <rFont val="Calibri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</si>
  <si>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charset val="204"/>
        <scheme val="minor"/>
      </rPr>
      <t xml:space="preserve"> с 13.12.2024г</t>
    </r>
    <r>
      <rPr>
        <b/>
        <sz val="14"/>
        <rFont val="Calibri"/>
        <charset val="204"/>
        <scheme val="minor"/>
      </rPr>
      <t>., оплата для АН 2%,</t>
    </r>
    <r>
      <rPr>
        <b/>
        <sz val="14"/>
        <color rgb="FFFF0000"/>
        <rFont val="Calibri"/>
        <charset val="204"/>
        <scheme val="minor"/>
      </rPr>
      <t xml:space="preserve">  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</si>
  <si>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charset val="204"/>
        <scheme val="minor"/>
      </rPr>
      <t>с 13.12.2024г</t>
    </r>
    <r>
      <rPr>
        <b/>
        <sz val="14"/>
        <rFont val="Calibri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charset val="204"/>
        <scheme val="minor"/>
      </rPr>
      <t>Удорожание 15%</t>
    </r>
  </si>
  <si>
    <r>
      <t xml:space="preserve">Ценообразование </t>
    </r>
    <r>
      <rPr>
        <b/>
        <sz val="14"/>
        <color rgb="FF00B050"/>
        <rFont val="Calibri"/>
        <charset val="204"/>
        <scheme val="minor"/>
      </rPr>
      <t>с 13.12.2024г</t>
    </r>
    <r>
      <rPr>
        <b/>
        <sz val="14"/>
        <rFont val="Calibri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charset val="204"/>
        <scheme val="minor"/>
      </rPr>
      <t>Удорожание 20%</t>
    </r>
  </si>
  <si>
    <r>
      <t xml:space="preserve">Ценообразование </t>
    </r>
    <r>
      <rPr>
        <b/>
        <sz val="14"/>
        <color rgb="FF00B050"/>
        <rFont val="Calibri"/>
        <charset val="204"/>
        <scheme val="minor"/>
      </rPr>
      <t>с 13.12.2024г</t>
    </r>
    <r>
      <rPr>
        <b/>
        <sz val="14"/>
        <rFont val="Calibri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charset val="204"/>
        <scheme val="minor"/>
      </rPr>
      <t>Скидка за Наличные и сделки по Базовой ипотеки - 5%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</si>
</sst>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\ ##0"/>
    <numFmt numFmtId="169" formatCode="#\ ##0.0"/>
  </numFmts>
  <fonts count="20">
    <font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b/>
      <sz val="14"/>
      <name val="Calibri"/>
      <charset val="204"/>
      <scheme val="minor"/>
    </font>
    <font>
      <b/>
      <sz val="1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2"/>
      <name val="Calibri"/>
      <charset val="204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2"/>
      <color rgb="FF000000"/>
      <name val="Calibri"/>
      <charset val="204"/>
      <scheme val="minor"/>
    </font>
    <font>
      <sz val="12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4"/>
      <color rgb="FF00B050"/>
      <name val="Calibri"/>
      <charset val="204"/>
      <scheme val="minor"/>
    </font>
    <font>
      <b/>
      <sz val="14"/>
      <color rgb="FFFF0000"/>
      <name val="Calibri"/>
      <charset val="204"/>
      <scheme val="minor"/>
    </font>
    <font>
      <b/>
      <sz val="11"/>
      <color rgb="FFFF0000"/>
      <name val="Calibri"/>
      <charset val="204"/>
      <scheme val="minor"/>
    </font>
    <font>
      <sz val="12"/>
      <color rgb="FF1F497D"/>
      <name val="Calibri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42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240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2" fontId="1" fillId="4" borderId="5" xfId="0" applyNumberFormat="1" applyFont="1" applyFill="1" applyBorder="1" applyAlignment="1">
      <alignment horizontal="center"/>
    </xf>
    <xf numFmtId="168" fontId="1" fillId="4" borderId="5" xfId="0" applyNumberFormat="1" applyFont="1" applyFill="1" applyBorder="1" applyAlignment="1">
      <alignment horizontal="center"/>
    </xf>
    <xf numFmtId="168" fontId="1" fillId="3" borderId="5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168" fontId="1" fillId="0" borderId="5" xfId="0" applyNumberFormat="1" applyFont="1" applyBorder="1" applyAlignment="1">
      <alignment horizontal="center"/>
    </xf>
    <xf numFmtId="168" fontId="1" fillId="2" borderId="5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68" fontId="1" fillId="0" borderId="9" xfId="0" applyNumberFormat="1" applyFont="1" applyBorder="1" applyAlignment="1">
      <alignment horizontal="center"/>
    </xf>
    <xf numFmtId="168" fontId="1" fillId="3" borderId="9" xfId="0" applyNumberFormat="1" applyFont="1" applyFill="1" applyBorder="1" applyAlignment="1">
      <alignment horizontal="center"/>
    </xf>
    <xf numFmtId="168" fontId="1" fillId="2" borderId="9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168" fontId="1" fillId="4" borderId="2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68" fontId="1" fillId="0" borderId="13" xfId="0" applyNumberFormat="1" applyFont="1" applyBorder="1" applyAlignment="1">
      <alignment horizontal="center"/>
    </xf>
    <xf numFmtId="168" fontId="1" fillId="2" borderId="13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68" fontId="1" fillId="3" borderId="13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8" fontId="1" fillId="0" borderId="0" xfId="0" applyNumberFormat="1" applyFont="1" applyBorder="1" applyAlignment="1">
      <alignment horizontal="center"/>
    </xf>
    <xf numFmtId="168" fontId="1" fillId="3" borderId="0" xfId="0" applyNumberFormat="1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68" fontId="1" fillId="0" borderId="0" xfId="0" applyNumberFormat="1" applyFont="1"/>
    <xf numFmtId="168" fontId="0" fillId="0" borderId="0" xfId="0" applyNumberFormat="1"/>
    <xf numFmtId="0" fontId="5" fillId="0" borderId="12" xfId="0" applyFont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9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0" fillId="0" borderId="23" xfId="0" applyBorder="1" applyAlignment="1">
      <alignment horizontal="center"/>
    </xf>
    <xf numFmtId="0" fontId="6" fillId="2" borderId="19" xfId="0" applyFont="1" applyFill="1" applyBorder="1" applyAlignment="1" applyProtection="1">
      <alignment horizontal="center" vertical="center" wrapText="1"/>
      <protection hidden="1"/>
    </xf>
    <xf numFmtId="0" fontId="6" fillId="2" borderId="24" xfId="0" applyFont="1" applyFill="1" applyBorder="1" applyAlignment="1" applyProtection="1">
      <alignment horizontal="center" vertical="center" wrapText="1"/>
      <protection hidden="1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8" fillId="2" borderId="25" xfId="0" applyFont="1" applyFill="1" applyBorder="1"/>
    <xf numFmtId="0" fontId="8" fillId="0" borderId="26" xfId="0" applyFont="1" applyBorder="1" applyAlignment="1">
      <alignment horizontal="center"/>
    </xf>
    <xf numFmtId="168" fontId="8" fillId="2" borderId="27" xfId="0" applyNumberFormat="1" applyFont="1" applyFill="1" applyBorder="1" applyAlignment="1">
      <alignment horizontal="center"/>
    </xf>
    <xf numFmtId="168" fontId="8" fillId="3" borderId="27" xfId="0" applyNumberFormat="1" applyFont="1" applyFill="1" applyBorder="1" applyAlignment="1">
      <alignment horizontal="center"/>
    </xf>
    <xf numFmtId="168" fontId="8" fillId="3" borderId="26" xfId="0" applyNumberFormat="1" applyFont="1" applyFill="1" applyBorder="1" applyAlignment="1">
      <alignment horizontal="center"/>
    </xf>
    <xf numFmtId="0" fontId="8" fillId="2" borderId="12" xfId="0" applyFont="1" applyFill="1" applyBorder="1"/>
    <xf numFmtId="0" fontId="8" fillId="0" borderId="2" xfId="0" applyFont="1" applyBorder="1" applyAlignment="1">
      <alignment horizontal="center"/>
    </xf>
    <xf numFmtId="168" fontId="9" fillId="3" borderId="3" xfId="0" applyNumberFormat="1" applyFont="1" applyFill="1" applyBorder="1" applyAlignment="1">
      <alignment horizontal="center"/>
    </xf>
    <xf numFmtId="168" fontId="9" fillId="3" borderId="2" xfId="0" applyNumberFormat="1" applyFont="1" applyFill="1" applyBorder="1" applyAlignment="1">
      <alignment horizontal="center"/>
    </xf>
    <xf numFmtId="168" fontId="8" fillId="2" borderId="3" xfId="0" applyNumberFormat="1" applyFont="1" applyFill="1" applyBorder="1" applyAlignment="1">
      <alignment horizontal="center"/>
    </xf>
    <xf numFmtId="168" fontId="8" fillId="3" borderId="2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168" fontId="8" fillId="2" borderId="13" xfId="0" applyNumberFormat="1" applyFont="1" applyFill="1" applyBorder="1" applyAlignment="1">
      <alignment horizontal="center"/>
    </xf>
    <xf numFmtId="168" fontId="8" fillId="3" borderId="5" xfId="0" applyNumberFormat="1" applyFont="1" applyFill="1" applyBorder="1" applyAlignment="1">
      <alignment horizontal="center"/>
    </xf>
    <xf numFmtId="168" fontId="8" fillId="3" borderId="13" xfId="0" applyNumberFormat="1" applyFont="1" applyFill="1" applyBorder="1" applyAlignment="1">
      <alignment horizontal="center"/>
    </xf>
    <xf numFmtId="168" fontId="8" fillId="2" borderId="21" xfId="0" applyNumberFormat="1" applyFont="1" applyFill="1" applyBorder="1" applyAlignment="1">
      <alignment horizontal="center"/>
    </xf>
    <xf numFmtId="0" fontId="8" fillId="2" borderId="8" xfId="0" applyFont="1" applyFill="1" applyBorder="1"/>
    <xf numFmtId="0" fontId="8" fillId="0" borderId="9" xfId="0" applyFont="1" applyBorder="1" applyAlignment="1">
      <alignment horizontal="center"/>
    </xf>
    <xf numFmtId="168" fontId="8" fillId="2" borderId="9" xfId="0" applyNumberFormat="1" applyFont="1" applyFill="1" applyBorder="1" applyAlignment="1">
      <alignment horizontal="center"/>
    </xf>
    <xf numFmtId="168" fontId="8" fillId="3" borderId="28" xfId="0" applyNumberFormat="1" applyFont="1" applyFill="1" applyBorder="1" applyAlignment="1">
      <alignment horizontal="center"/>
    </xf>
    <xf numFmtId="168" fontId="8" fillId="3" borderId="29" xfId="0" applyNumberFormat="1" applyFont="1" applyFill="1" applyBorder="1" applyAlignment="1">
      <alignment horizontal="center"/>
    </xf>
    <xf numFmtId="168" fontId="8" fillId="3" borderId="9" xfId="0" applyNumberFormat="1" applyFont="1" applyFill="1" applyBorder="1" applyAlignment="1">
      <alignment horizontal="center"/>
    </xf>
    <xf numFmtId="0" fontId="8" fillId="2" borderId="1" xfId="0" applyFont="1" applyFill="1" applyBorder="1"/>
    <xf numFmtId="168" fontId="8" fillId="2" borderId="2" xfId="0" applyNumberFormat="1" applyFont="1" applyFill="1" applyBorder="1" applyAlignment="1">
      <alignment horizontal="center"/>
    </xf>
    <xf numFmtId="168" fontId="8" fillId="2" borderId="5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30" xfId="0" applyFont="1" applyFill="1" applyBorder="1"/>
    <xf numFmtId="0" fontId="0" fillId="0" borderId="9" xfId="0" applyBorder="1" applyAlignment="1">
      <alignment horizontal="center"/>
    </xf>
    <xf numFmtId="168" fontId="0" fillId="2" borderId="9" xfId="0" applyNumberFormat="1" applyFill="1" applyBorder="1" applyAlignment="1">
      <alignment horizontal="center"/>
    </xf>
    <xf numFmtId="0" fontId="8" fillId="2" borderId="31" xfId="0" applyFont="1" applyFill="1" applyBorder="1"/>
    <xf numFmtId="0" fontId="8" fillId="0" borderId="32" xfId="0" applyFont="1" applyBorder="1" applyAlignment="1">
      <alignment horizontal="center"/>
    </xf>
    <xf numFmtId="168" fontId="8" fillId="2" borderId="32" xfId="0" applyNumberFormat="1" applyFont="1" applyFill="1" applyBorder="1" applyAlignment="1">
      <alignment horizontal="center"/>
    </xf>
    <xf numFmtId="168" fontId="8" fillId="3" borderId="32" xfId="0" applyNumberFormat="1" applyFont="1" applyFill="1" applyBorder="1" applyAlignment="1">
      <alignment horizontal="center"/>
    </xf>
    <xf numFmtId="168" fontId="8" fillId="2" borderId="26" xfId="0" applyNumberFormat="1" applyFon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68" fontId="0" fillId="2" borderId="26" xfId="0" applyNumberFormat="1" applyFill="1" applyBorder="1" applyAlignment="1">
      <alignment horizontal="center"/>
    </xf>
    <xf numFmtId="168" fontId="0" fillId="3" borderId="26" xfId="0" applyNumberFormat="1" applyFill="1" applyBorder="1" applyAlignment="1">
      <alignment horizontal="center"/>
    </xf>
    <xf numFmtId="0" fontId="7" fillId="3" borderId="33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168" fontId="8" fillId="3" borderId="24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8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/>
    <xf numFmtId="0" fontId="8" fillId="2" borderId="23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1" fillId="0" borderId="7" xfId="0" applyFont="1" applyBorder="1"/>
    <xf numFmtId="2" fontId="1" fillId="0" borderId="5" xfId="0" applyNumberFormat="1" applyFont="1" applyBorder="1" applyAlignment="1">
      <alignment horizontal="center" wrapText="1"/>
    </xf>
    <xf numFmtId="169" fontId="1" fillId="0" borderId="19" xfId="0" applyNumberFormat="1" applyFont="1" applyBorder="1" applyAlignment="1">
      <alignment horizontal="center"/>
    </xf>
    <xf numFmtId="168" fontId="1" fillId="3" borderId="19" xfId="0" applyNumberFormat="1" applyFont="1" applyFill="1" applyBorder="1" applyAlignment="1">
      <alignment horizontal="center"/>
    </xf>
    <xf numFmtId="2" fontId="1" fillId="0" borderId="29" xfId="0" applyNumberFormat="1" applyFont="1" applyBorder="1" applyAlignment="1">
      <alignment horizontal="center" wrapText="1"/>
    </xf>
    <xf numFmtId="168" fontId="1" fillId="3" borderId="28" xfId="0" applyNumberFormat="1" applyFont="1" applyFill="1" applyBorder="1" applyAlignment="1">
      <alignment horizontal="center"/>
    </xf>
    <xf numFmtId="169" fontId="1" fillId="0" borderId="28" xfId="0" applyNumberFormat="1" applyFont="1" applyBorder="1" applyAlignment="1">
      <alignment horizontal="center"/>
    </xf>
    <xf numFmtId="0" fontId="1" fillId="0" borderId="1" xfId="0" applyFont="1" applyBorder="1"/>
    <xf numFmtId="2" fontId="1" fillId="0" borderId="2" xfId="0" applyNumberFormat="1" applyFont="1" applyBorder="1" applyAlignment="1">
      <alignment horizontal="center" wrapText="1"/>
    </xf>
    <xf numFmtId="169" fontId="1" fillId="0" borderId="3" xfId="0" applyNumberFormat="1" applyFont="1" applyBorder="1" applyAlignment="1">
      <alignment horizontal="center"/>
    </xf>
    <xf numFmtId="168" fontId="1" fillId="3" borderId="3" xfId="0" applyNumberFormat="1" applyFont="1" applyFill="1" applyBorder="1" applyAlignment="1">
      <alignment horizontal="center"/>
    </xf>
    <xf numFmtId="0" fontId="1" fillId="0" borderId="12" xfId="0" applyFont="1" applyBorder="1"/>
    <xf numFmtId="169" fontId="1" fillId="0" borderId="34" xfId="0" applyNumberFormat="1" applyFont="1" applyBorder="1" applyAlignment="1">
      <alignment horizontal="center"/>
    </xf>
    <xf numFmtId="168" fontId="1" fillId="3" borderId="34" xfId="0" applyNumberFormat="1" applyFont="1" applyFill="1" applyBorder="1" applyAlignment="1">
      <alignment horizontal="center"/>
    </xf>
    <xf numFmtId="0" fontId="1" fillId="0" borderId="8" xfId="0" applyFont="1" applyBorder="1"/>
    <xf numFmtId="2" fontId="1" fillId="0" borderId="9" xfId="0" applyNumberFormat="1" applyFont="1" applyBorder="1" applyAlignment="1">
      <alignment horizontal="center" wrapText="1"/>
    </xf>
    <xf numFmtId="169" fontId="1" fillId="0" borderId="24" xfId="0" applyNumberFormat="1" applyFont="1" applyBorder="1" applyAlignment="1">
      <alignment horizontal="center"/>
    </xf>
    <xf numFmtId="168" fontId="1" fillId="3" borderId="24" xfId="0" applyNumberFormat="1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wrapText="1"/>
    </xf>
    <xf numFmtId="169" fontId="1" fillId="0" borderId="21" xfId="0" applyNumberFormat="1" applyFont="1" applyBorder="1" applyAlignment="1">
      <alignment horizontal="center"/>
    </xf>
    <xf numFmtId="168" fontId="1" fillId="3" borderId="21" xfId="0" applyNumberFormat="1" applyFont="1" applyFill="1" applyBorder="1" applyAlignment="1">
      <alignment horizontal="center"/>
    </xf>
    <xf numFmtId="2" fontId="1" fillId="0" borderId="21" xfId="0" applyNumberFormat="1" applyFont="1" applyBorder="1" applyAlignment="1">
      <alignment horizontal="center" wrapText="1"/>
    </xf>
    <xf numFmtId="169" fontId="1" fillId="0" borderId="2" xfId="0" applyNumberFormat="1" applyFont="1" applyBorder="1" applyAlignment="1">
      <alignment horizontal="center"/>
    </xf>
    <xf numFmtId="168" fontId="1" fillId="3" borderId="22" xfId="0" applyNumberFormat="1" applyFont="1" applyFill="1" applyBorder="1" applyAlignment="1">
      <alignment horizontal="center"/>
    </xf>
    <xf numFmtId="2" fontId="1" fillId="0" borderId="19" xfId="0" applyNumberFormat="1" applyFont="1" applyBorder="1" applyAlignment="1">
      <alignment horizontal="center" wrapText="1"/>
    </xf>
    <xf numFmtId="169" fontId="1" fillId="0" borderId="13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 wrapText="1"/>
    </xf>
    <xf numFmtId="169" fontId="1" fillId="0" borderId="9" xfId="0" applyNumberFormat="1" applyFont="1" applyBorder="1" applyAlignment="1">
      <alignment horizontal="center"/>
    </xf>
    <xf numFmtId="168" fontId="1" fillId="3" borderId="35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 wrapText="1"/>
    </xf>
    <xf numFmtId="168" fontId="1" fillId="3" borderId="16" xfId="0" applyNumberFormat="1" applyFont="1" applyFill="1" applyBorder="1" applyAlignment="1">
      <alignment horizontal="center"/>
    </xf>
    <xf numFmtId="168" fontId="1" fillId="3" borderId="2" xfId="0" applyNumberFormat="1" applyFont="1" applyFill="1" applyBorder="1" applyAlignment="1">
      <alignment horizontal="center"/>
    </xf>
    <xf numFmtId="2" fontId="1" fillId="0" borderId="36" xfId="0" applyNumberFormat="1" applyFont="1" applyBorder="1" applyAlignment="1">
      <alignment horizontal="center" wrapText="1"/>
    </xf>
    <xf numFmtId="169" fontId="1" fillId="0" borderId="29" xfId="0" applyNumberFormat="1" applyFont="1" applyBorder="1" applyAlignment="1">
      <alignment horizontal="center"/>
    </xf>
    <xf numFmtId="168" fontId="1" fillId="3" borderId="36" xfId="0" applyNumberFormat="1" applyFont="1" applyFill="1" applyBorder="1" applyAlignment="1">
      <alignment horizontal="center"/>
    </xf>
    <xf numFmtId="168" fontId="1" fillId="3" borderId="29" xfId="0" applyNumberFormat="1" applyFont="1" applyFill="1" applyBorder="1" applyAlignment="1">
      <alignment horizontal="center"/>
    </xf>
    <xf numFmtId="168" fontId="1" fillId="0" borderId="19" xfId="0" applyNumberFormat="1" applyFont="1" applyBorder="1" applyAlignment="1">
      <alignment horizontal="center"/>
    </xf>
    <xf numFmtId="168" fontId="1" fillId="0" borderId="28" xfId="0" applyNumberFormat="1" applyFont="1" applyBorder="1" applyAlignment="1">
      <alignment horizontal="center"/>
    </xf>
    <xf numFmtId="168" fontId="1" fillId="0" borderId="3" xfId="0" applyNumberFormat="1" applyFont="1" applyBorder="1" applyAlignment="1">
      <alignment horizontal="center"/>
    </xf>
    <xf numFmtId="168" fontId="1" fillId="0" borderId="34" xfId="0" applyNumberFormat="1" applyFont="1" applyBorder="1" applyAlignment="1">
      <alignment horizontal="center"/>
    </xf>
    <xf numFmtId="168" fontId="1" fillId="0" borderId="24" xfId="0" applyNumberFormat="1" applyFont="1" applyBorder="1" applyAlignment="1">
      <alignment horizontal="center"/>
    </xf>
    <xf numFmtId="168" fontId="1" fillId="0" borderId="21" xfId="0" applyNumberFormat="1" applyFont="1" applyBorder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168" fontId="1" fillId="0" borderId="29" xfId="0" applyNumberFormat="1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 wrapText="1"/>
    </xf>
    <xf numFmtId="169" fontId="1" fillId="0" borderId="0" xfId="0" applyNumberFormat="1" applyFont="1" applyBorder="1" applyAlignment="1">
      <alignment horizontal="center"/>
    </xf>
    <xf numFmtId="0" fontId="3" fillId="3" borderId="3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38" xfId="0" applyFont="1" applyBorder="1" applyAlignment="1">
      <alignment horizontal="left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168" fontId="11" fillId="0" borderId="9" xfId="0" applyNumberFormat="1" applyFont="1" applyBorder="1" applyAlignment="1">
      <alignment horizontal="center" vertical="center" wrapText="1"/>
    </xf>
    <xf numFmtId="168" fontId="11" fillId="0" borderId="24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168" fontId="11" fillId="6" borderId="13" xfId="0" applyNumberFormat="1" applyFont="1" applyFill="1" applyBorder="1" applyAlignment="1">
      <alignment horizontal="center" vertical="center" wrapText="1"/>
    </xf>
    <xf numFmtId="168" fontId="11" fillId="6" borderId="21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168" fontId="11" fillId="6" borderId="29" xfId="0" applyNumberFormat="1" applyFont="1" applyFill="1" applyBorder="1" applyAlignment="1">
      <alignment horizontal="center" vertical="center" wrapText="1"/>
    </xf>
    <xf numFmtId="168" fontId="11" fillId="6" borderId="28" xfId="0" applyNumberFormat="1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68" fontId="11" fillId="6" borderId="5" xfId="0" applyNumberFormat="1" applyFont="1" applyFill="1" applyBorder="1" applyAlignment="1">
      <alignment horizontal="center" vertical="center" wrapText="1"/>
    </xf>
    <xf numFmtId="168" fontId="11" fillId="6" borderId="19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8" fontId="11" fillId="6" borderId="9" xfId="0" applyNumberFormat="1" applyFont="1" applyFill="1" applyBorder="1" applyAlignment="1">
      <alignment horizontal="center" vertical="center" wrapText="1"/>
    </xf>
    <xf numFmtId="168" fontId="11" fillId="6" borderId="24" xfId="0" applyNumberFormat="1" applyFont="1" applyFill="1" applyBorder="1" applyAlignment="1">
      <alignment horizontal="center" vertical="center" wrapText="1"/>
    </xf>
    <xf numFmtId="0" fontId="1" fillId="0" borderId="34" xfId="0" applyFont="1" applyBorder="1"/>
    <xf numFmtId="0" fontId="10" fillId="0" borderId="2" xfId="0" applyFont="1" applyBorder="1" applyAlignment="1">
      <alignment horizontal="center" vertical="center"/>
    </xf>
    <xf numFmtId="168" fontId="11" fillId="0" borderId="2" xfId="0" applyNumberFormat="1" applyFont="1" applyBorder="1" applyAlignment="1">
      <alignment horizontal="center" vertical="center" wrapText="1"/>
    </xf>
    <xf numFmtId="168" fontId="11" fillId="0" borderId="3" xfId="0" applyNumberFormat="1" applyFont="1" applyBorder="1" applyAlignment="1">
      <alignment horizontal="center" vertical="center" wrapText="1"/>
    </xf>
    <xf numFmtId="168" fontId="11" fillId="0" borderId="13" xfId="0" applyNumberFormat="1" applyFont="1" applyBorder="1" applyAlignment="1">
      <alignment horizontal="center" vertical="center" wrapText="1"/>
    </xf>
    <xf numFmtId="168" fontId="11" fillId="0" borderId="21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4" xfId="0" applyBorder="1"/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/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3" fontId="1" fillId="3" borderId="9" xfId="0" applyNumberFormat="1" applyFont="1" applyFill="1" applyBorder="1" applyAlignment="1">
      <alignment horizontal="center"/>
    </xf>
    <xf numFmtId="3" fontId="1" fillId="3" borderId="13" xfId="0" applyNumberFormat="1" applyFont="1" applyFill="1" applyBorder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68" fontId="1" fillId="4" borderId="9" xfId="0" applyNumberFormat="1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/>
    </xf>
    <xf numFmtId="0" fontId="18" fillId="4" borderId="43" xfId="0" applyFont="1" applyFill="1" applyBorder="1" applyAlignment="1">
      <alignment horizontal="center"/>
    </xf>
    <xf numFmtId="0" fontId="18" fillId="4" borderId="42" xfId="0" applyFont="1" applyFill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2" borderId="0" xfId="0" applyFont="1" applyFill="1"/>
  </cellXfs>
  <cellStyles count="42">
    <cellStyle name="Обычный" xfId="0" builtinId="0"/>
    <cellStyle name="Обычный 10" xfId="1"/>
    <cellStyle name="Обычный 10 2" xfId="2"/>
    <cellStyle name="Обычный 11" xfId="3"/>
    <cellStyle name="Обычный 12" xfId="4"/>
    <cellStyle name="Обычный 2" xfId="5"/>
    <cellStyle name="Обычный 2 2" xfId="6"/>
    <cellStyle name="Обычный 2 2 2" xfId="7"/>
    <cellStyle name="Обычный 2 2 2 2" xfId="8"/>
    <cellStyle name="Обычный 2 2 2 2 2" xfId="9"/>
    <cellStyle name="Обычный 2 2 2 3" xfId="10"/>
    <cellStyle name="Обычный 2 2 3" xfId="11"/>
    <cellStyle name="Обычный 2 2 3 2" xfId="12"/>
    <cellStyle name="Обычный 2 2 4" xfId="13"/>
    <cellStyle name="Обычный 2 3" xfId="14"/>
    <cellStyle name="Обычный 2 3 2" xfId="15"/>
    <cellStyle name="Обычный 2 3 2 2" xfId="16"/>
    <cellStyle name="Обычный 2 3 3" xfId="17"/>
    <cellStyle name="Обычный 2 4" xfId="18"/>
    <cellStyle name="Обычный 2 4 2" xfId="19"/>
    <cellStyle name="Обычный 2 5" xfId="20"/>
    <cellStyle name="Обычный 3" xfId="21"/>
    <cellStyle name="Обычный 3 2" xfId="22"/>
    <cellStyle name="Обычный 3 2 2" xfId="23"/>
    <cellStyle name="Обычный 3 2 2 2" xfId="24"/>
    <cellStyle name="Обычный 3 2 3" xfId="25"/>
    <cellStyle name="Обычный 3 3" xfId="26"/>
    <cellStyle name="Обычный 3 3 2" xfId="27"/>
    <cellStyle name="Обычный 3 4" xfId="28"/>
    <cellStyle name="Обычный 3 5" xfId="29"/>
    <cellStyle name="Обычный 4" xfId="30"/>
    <cellStyle name="Обычный 4 2" xfId="31"/>
    <cellStyle name="Обычный 5" xfId="32"/>
    <cellStyle name="Обычный 5 2" xfId="33"/>
    <cellStyle name="Обычный 6" xfId="34"/>
    <cellStyle name="Обычный 6 2" xfId="35"/>
    <cellStyle name="Обычный 7" xfId="36"/>
    <cellStyle name="Обычный 7 2" xfId="37"/>
    <cellStyle name="Обычный 8" xfId="38"/>
    <cellStyle name="Обычный 8 2" xfId="39"/>
    <cellStyle name="Обычный 9" xfId="40"/>
    <cellStyle name="Обычный 9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3"/>
  <sheetViews>
    <sheetView workbookViewId="0">
      <selection activeCell="A2" sqref="A2"/>
    </sheetView>
  </sheetViews>
  <sheetFormatPr defaultColWidth="9" defaultRowHeight="15"/>
  <cols>
    <col min="1" max="1" width="39" customWidth="1"/>
    <col min="2" max="3" width="15.7109375" customWidth="1"/>
    <col min="4" max="4" width="17.5703125" customWidth="1"/>
    <col min="5" max="7" width="15.7109375" customWidth="1"/>
    <col min="8" max="8" width="19" customWidth="1"/>
    <col min="9" max="10" width="15.7109375" customWidth="1"/>
    <col min="11" max="11" width="14" customWidth="1"/>
    <col min="13" max="13" width="44" customWidth="1"/>
  </cols>
  <sheetData>
    <row r="1" spans="1:8" s="1" customFormat="1" ht="18.75">
      <c r="A1" s="238" t="s">
        <v>115</v>
      </c>
    </row>
    <row r="2" spans="1:8" ht="106.5" customHeight="1">
      <c r="A2" s="167" t="s">
        <v>0</v>
      </c>
      <c r="B2" s="168" t="s">
        <v>1</v>
      </c>
      <c r="C2" s="168" t="s">
        <v>2</v>
      </c>
      <c r="D2" s="168" t="s">
        <v>3</v>
      </c>
      <c r="E2" s="168" t="s">
        <v>4</v>
      </c>
      <c r="F2" s="168" t="s">
        <v>5</v>
      </c>
      <c r="G2" s="168" t="s">
        <v>6</v>
      </c>
      <c r="H2" s="170" t="s">
        <v>7</v>
      </c>
    </row>
    <row r="3" spans="1:8" ht="31.5">
      <c r="A3" s="171" t="s">
        <v>8</v>
      </c>
      <c r="B3" s="172" t="s">
        <v>9</v>
      </c>
      <c r="C3" s="172" t="s">
        <v>10</v>
      </c>
      <c r="D3" s="173">
        <v>5465000</v>
      </c>
      <c r="E3" s="173">
        <f>D3*1.153</f>
        <v>6301145</v>
      </c>
      <c r="F3" s="173">
        <f>D3*1.126</f>
        <v>6153590</v>
      </c>
      <c r="G3" s="173">
        <f>D3*1.085</f>
        <v>5929525</v>
      </c>
      <c r="H3" s="201" t="s">
        <v>11</v>
      </c>
    </row>
    <row r="4" spans="1:8" ht="30">
      <c r="A4" s="176" t="s">
        <v>12</v>
      </c>
      <c r="B4" s="177" t="s">
        <v>13</v>
      </c>
      <c r="C4" s="177" t="s">
        <v>14</v>
      </c>
      <c r="D4" s="178">
        <f>8150000*0.95</f>
        <v>7742500</v>
      </c>
      <c r="E4" s="178">
        <f t="shared" ref="E4:E13" si="0">D4*1.153</f>
        <v>8927102.5</v>
      </c>
      <c r="F4" s="178">
        <f t="shared" ref="F4:F13" si="1">D4*1.126</f>
        <v>8718055</v>
      </c>
      <c r="G4" s="178">
        <f t="shared" ref="G4:G13" si="2">D4*1.085</f>
        <v>8400612.5</v>
      </c>
      <c r="H4" s="202" t="s">
        <v>11</v>
      </c>
    </row>
    <row r="5" spans="1:8" ht="30">
      <c r="A5" s="181" t="s">
        <v>12</v>
      </c>
      <c r="B5" s="182" t="s">
        <v>13</v>
      </c>
      <c r="C5" s="182" t="s">
        <v>15</v>
      </c>
      <c r="D5" s="183">
        <f>8300000*0.95</f>
        <v>7885000</v>
      </c>
      <c r="E5" s="183">
        <f t="shared" si="0"/>
        <v>9091405</v>
      </c>
      <c r="F5" s="183">
        <f t="shared" si="1"/>
        <v>8878510</v>
      </c>
      <c r="G5" s="183">
        <f t="shared" si="2"/>
        <v>8555225</v>
      </c>
      <c r="H5" s="203" t="s">
        <v>11</v>
      </c>
    </row>
    <row r="6" spans="1:8" ht="15.75">
      <c r="A6" s="186" t="s">
        <v>16</v>
      </c>
      <c r="B6" s="177" t="s">
        <v>13</v>
      </c>
      <c r="C6" s="177" t="s">
        <v>14</v>
      </c>
      <c r="D6" s="178">
        <f>6500000*0.95</f>
        <v>6175000</v>
      </c>
      <c r="E6" s="178">
        <f t="shared" si="0"/>
        <v>7119775</v>
      </c>
      <c r="F6" s="178">
        <f t="shared" si="1"/>
        <v>6953050</v>
      </c>
      <c r="G6" s="178">
        <f t="shared" si="2"/>
        <v>6699875</v>
      </c>
      <c r="H6" s="204" t="s">
        <v>17</v>
      </c>
    </row>
    <row r="7" spans="1:8" ht="15.75">
      <c r="A7" s="188" t="s">
        <v>18</v>
      </c>
      <c r="B7" s="177" t="s">
        <v>13</v>
      </c>
      <c r="C7" s="189" t="s">
        <v>15</v>
      </c>
      <c r="D7" s="190">
        <f>6650000*0.95</f>
        <v>6317500</v>
      </c>
      <c r="E7" s="190">
        <f t="shared" si="0"/>
        <v>7284077.5</v>
      </c>
      <c r="F7" s="190">
        <f t="shared" si="1"/>
        <v>7113505</v>
      </c>
      <c r="G7" s="190">
        <f t="shared" si="2"/>
        <v>6854487.5</v>
      </c>
      <c r="H7" s="205" t="s">
        <v>17</v>
      </c>
    </row>
    <row r="8" spans="1:8" ht="15.75">
      <c r="A8" s="176" t="s">
        <v>19</v>
      </c>
      <c r="B8" s="177" t="s">
        <v>13</v>
      </c>
      <c r="C8" s="177" t="s">
        <v>14</v>
      </c>
      <c r="D8" s="178">
        <f>6500000*0.95</f>
        <v>6175000</v>
      </c>
      <c r="E8" s="178">
        <f t="shared" si="0"/>
        <v>7119775</v>
      </c>
      <c r="F8" s="178">
        <f t="shared" si="1"/>
        <v>6953050</v>
      </c>
      <c r="G8" s="178">
        <f t="shared" si="2"/>
        <v>6699875</v>
      </c>
      <c r="H8" s="202" t="s">
        <v>17</v>
      </c>
    </row>
    <row r="9" spans="1:8" ht="15.75">
      <c r="A9" s="171" t="s">
        <v>19</v>
      </c>
      <c r="B9" s="172" t="s">
        <v>13</v>
      </c>
      <c r="C9" s="172" t="s">
        <v>15</v>
      </c>
      <c r="D9" s="193">
        <f>6650000*0.95</f>
        <v>6317500</v>
      </c>
      <c r="E9" s="193">
        <f t="shared" si="0"/>
        <v>7284077.5</v>
      </c>
      <c r="F9" s="193">
        <f t="shared" si="1"/>
        <v>7113505</v>
      </c>
      <c r="G9" s="193">
        <f t="shared" si="2"/>
        <v>6854487.5</v>
      </c>
      <c r="H9" s="201" t="s">
        <v>17</v>
      </c>
    </row>
    <row r="10" spans="1:8">
      <c r="D10" s="2"/>
      <c r="E10" s="2"/>
      <c r="F10" s="2"/>
      <c r="G10" s="2"/>
      <c r="H10" s="206"/>
    </row>
    <row r="11" spans="1:8" ht="36" customHeight="1">
      <c r="A11" s="186" t="s">
        <v>20</v>
      </c>
      <c r="B11" s="196" t="s">
        <v>9</v>
      </c>
      <c r="C11" s="196" t="s">
        <v>10</v>
      </c>
      <c r="D11" s="197">
        <v>5900000</v>
      </c>
      <c r="E11" s="197">
        <f t="shared" si="0"/>
        <v>6802700</v>
      </c>
      <c r="F11" s="197">
        <f t="shared" si="1"/>
        <v>6643400</v>
      </c>
      <c r="G11" s="197">
        <f t="shared" si="2"/>
        <v>6401500</v>
      </c>
      <c r="H11" s="204" t="s">
        <v>21</v>
      </c>
    </row>
    <row r="12" spans="1:8" ht="36" customHeight="1">
      <c r="A12" s="176" t="s">
        <v>22</v>
      </c>
      <c r="B12" s="177" t="s">
        <v>9</v>
      </c>
      <c r="C12" s="177" t="s">
        <v>10</v>
      </c>
      <c r="D12" s="199">
        <v>5900000</v>
      </c>
      <c r="E12" s="199">
        <f t="shared" si="0"/>
        <v>6802700</v>
      </c>
      <c r="F12" s="199">
        <f t="shared" si="1"/>
        <v>6643400</v>
      </c>
      <c r="G12" s="199">
        <f t="shared" si="2"/>
        <v>6401500</v>
      </c>
      <c r="H12" s="202" t="s">
        <v>21</v>
      </c>
    </row>
    <row r="13" spans="1:8" ht="36" customHeight="1">
      <c r="A13" s="181" t="s">
        <v>23</v>
      </c>
      <c r="B13" s="182" t="s">
        <v>13</v>
      </c>
      <c r="C13" s="182" t="s">
        <v>15</v>
      </c>
      <c r="D13" s="183">
        <f>8850000*0.95</f>
        <v>8407500</v>
      </c>
      <c r="E13" s="183">
        <f t="shared" si="0"/>
        <v>9693847.5</v>
      </c>
      <c r="F13" s="183">
        <f t="shared" si="1"/>
        <v>9466845</v>
      </c>
      <c r="G13" s="183">
        <f t="shared" si="2"/>
        <v>9122137.5</v>
      </c>
      <c r="H13" s="203" t="s">
        <v>21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8"/>
  <sheetViews>
    <sheetView workbookViewId="0">
      <selection activeCell="A2" sqref="A2"/>
    </sheetView>
  </sheetViews>
  <sheetFormatPr defaultColWidth="9" defaultRowHeight="15"/>
  <cols>
    <col min="1" max="1" width="39" customWidth="1"/>
    <col min="2" max="3" width="15.7109375" customWidth="1"/>
    <col min="4" max="4" width="17.5703125" customWidth="1"/>
    <col min="5" max="7" width="15.7109375" customWidth="1"/>
    <col min="8" max="8" width="19" customWidth="1"/>
    <col min="9" max="10" width="15.7109375" customWidth="1"/>
    <col min="11" max="11" width="14" customWidth="1"/>
    <col min="13" max="13" width="44" customWidth="1"/>
  </cols>
  <sheetData>
    <row r="1" spans="1:11" s="1" customFormat="1" ht="18.75">
      <c r="A1" s="238" t="s">
        <v>116</v>
      </c>
    </row>
    <row r="2" spans="1:11" ht="106.5" customHeight="1">
      <c r="A2" s="167" t="s">
        <v>0</v>
      </c>
      <c r="B2" s="168" t="s">
        <v>1</v>
      </c>
      <c r="C2" s="168" t="s">
        <v>2</v>
      </c>
      <c r="D2" s="168" t="s">
        <v>24</v>
      </c>
      <c r="E2" s="168" t="s">
        <v>25</v>
      </c>
      <c r="F2" s="169" t="s">
        <v>26</v>
      </c>
      <c r="G2" s="169" t="s">
        <v>27</v>
      </c>
      <c r="H2" s="170" t="s">
        <v>7</v>
      </c>
    </row>
    <row r="3" spans="1:11" ht="31.5">
      <c r="A3" s="171" t="s">
        <v>8</v>
      </c>
      <c r="B3" s="172" t="s">
        <v>9</v>
      </c>
      <c r="C3" s="172" t="s">
        <v>10</v>
      </c>
      <c r="D3" s="173">
        <v>5465000</v>
      </c>
      <c r="E3" s="173">
        <f t="shared" ref="E3:E9" si="0">D3*115%</f>
        <v>6284750</v>
      </c>
      <c r="F3" s="174">
        <f t="shared" ref="F3:F9" si="1">D3*120%</f>
        <v>6558000</v>
      </c>
      <c r="G3" s="174">
        <f t="shared" ref="G3:G9" si="2">D3*0.95</f>
        <v>5191750</v>
      </c>
      <c r="H3" s="175" t="s">
        <v>11</v>
      </c>
    </row>
    <row r="4" spans="1:11" ht="30">
      <c r="A4" s="176" t="s">
        <v>12</v>
      </c>
      <c r="B4" s="177" t="s">
        <v>13</v>
      </c>
      <c r="C4" s="177" t="s">
        <v>14</v>
      </c>
      <c r="D4" s="178">
        <f>8150000*0.95</f>
        <v>7742500</v>
      </c>
      <c r="E4" s="178">
        <f t="shared" si="0"/>
        <v>8903875</v>
      </c>
      <c r="F4" s="179">
        <f t="shared" si="1"/>
        <v>9291000</v>
      </c>
      <c r="G4" s="179">
        <f t="shared" si="2"/>
        <v>7355375</v>
      </c>
      <c r="H4" s="180" t="s">
        <v>11</v>
      </c>
    </row>
    <row r="5" spans="1:11" ht="30">
      <c r="A5" s="181" t="s">
        <v>12</v>
      </c>
      <c r="B5" s="182" t="s">
        <v>13</v>
      </c>
      <c r="C5" s="182" t="s">
        <v>15</v>
      </c>
      <c r="D5" s="183">
        <f>8300000*0.95</f>
        <v>7885000</v>
      </c>
      <c r="E5" s="183">
        <f t="shared" si="0"/>
        <v>9067750</v>
      </c>
      <c r="F5" s="184">
        <f t="shared" si="1"/>
        <v>9462000</v>
      </c>
      <c r="G5" s="184">
        <f t="shared" si="2"/>
        <v>7490750</v>
      </c>
      <c r="H5" s="185" t="s">
        <v>11</v>
      </c>
    </row>
    <row r="6" spans="1:11" ht="15.75">
      <c r="A6" s="186" t="s">
        <v>16</v>
      </c>
      <c r="B6" s="177" t="s">
        <v>13</v>
      </c>
      <c r="C6" s="177" t="s">
        <v>14</v>
      </c>
      <c r="D6" s="178">
        <f>6500000*0.95</f>
        <v>6175000</v>
      </c>
      <c r="E6" s="178">
        <f t="shared" si="0"/>
        <v>7101250</v>
      </c>
      <c r="F6" s="179">
        <f t="shared" si="1"/>
        <v>7410000</v>
      </c>
      <c r="G6" s="179">
        <f t="shared" si="2"/>
        <v>5866250</v>
      </c>
      <c r="H6" s="187" t="s">
        <v>17</v>
      </c>
    </row>
    <row r="7" spans="1:11" ht="15.75">
      <c r="A7" s="188" t="s">
        <v>18</v>
      </c>
      <c r="B7" s="177" t="s">
        <v>13</v>
      </c>
      <c r="C7" s="189" t="s">
        <v>15</v>
      </c>
      <c r="D7" s="190">
        <f>6650000*0.95</f>
        <v>6317500</v>
      </c>
      <c r="E7" s="190">
        <f t="shared" si="0"/>
        <v>7265125</v>
      </c>
      <c r="F7" s="191">
        <f t="shared" si="1"/>
        <v>7581000</v>
      </c>
      <c r="G7" s="191">
        <f t="shared" si="2"/>
        <v>6001625</v>
      </c>
      <c r="H7" s="192" t="s">
        <v>17</v>
      </c>
    </row>
    <row r="8" spans="1:11" ht="15.75">
      <c r="A8" s="176" t="s">
        <v>19</v>
      </c>
      <c r="B8" s="177" t="s">
        <v>13</v>
      </c>
      <c r="C8" s="177" t="s">
        <v>14</v>
      </c>
      <c r="D8" s="178">
        <f>6500000*0.95</f>
        <v>6175000</v>
      </c>
      <c r="E8" s="178">
        <f t="shared" si="0"/>
        <v>7101250</v>
      </c>
      <c r="F8" s="179">
        <f t="shared" si="1"/>
        <v>7410000</v>
      </c>
      <c r="G8" s="179">
        <f t="shared" si="2"/>
        <v>5866250</v>
      </c>
      <c r="H8" s="180" t="s">
        <v>17</v>
      </c>
    </row>
    <row r="9" spans="1:11" ht="15.75">
      <c r="A9" s="171" t="s">
        <v>19</v>
      </c>
      <c r="B9" s="172" t="s">
        <v>13</v>
      </c>
      <c r="C9" s="172" t="s">
        <v>15</v>
      </c>
      <c r="D9" s="193">
        <f>6650000*0.95</f>
        <v>6317500</v>
      </c>
      <c r="E9" s="193">
        <f t="shared" si="0"/>
        <v>7265125</v>
      </c>
      <c r="F9" s="194">
        <f t="shared" si="1"/>
        <v>7581000</v>
      </c>
      <c r="G9" s="194">
        <f t="shared" si="2"/>
        <v>6001625</v>
      </c>
      <c r="H9" s="175" t="s">
        <v>17</v>
      </c>
    </row>
    <row r="10" spans="1:11">
      <c r="D10" s="2"/>
      <c r="E10" s="2"/>
      <c r="F10" s="2"/>
      <c r="G10" s="2"/>
      <c r="H10" s="195"/>
    </row>
    <row r="11" spans="1:11" ht="36" customHeight="1">
      <c r="A11" s="186" t="s">
        <v>20</v>
      </c>
      <c r="B11" s="196" t="s">
        <v>9</v>
      </c>
      <c r="C11" s="196" t="s">
        <v>10</v>
      </c>
      <c r="D11" s="197">
        <v>5900000</v>
      </c>
      <c r="E11" s="197">
        <f>D11*115%</f>
        <v>6785000</v>
      </c>
      <c r="F11" s="198">
        <f>D11*120%</f>
        <v>7080000</v>
      </c>
      <c r="G11" s="198">
        <f>D11*0.95</f>
        <v>5605000</v>
      </c>
      <c r="H11" s="187" t="s">
        <v>21</v>
      </c>
    </row>
    <row r="12" spans="1:11" ht="36" customHeight="1">
      <c r="A12" s="176" t="s">
        <v>22</v>
      </c>
      <c r="B12" s="177" t="s">
        <v>9</v>
      </c>
      <c r="C12" s="177" t="s">
        <v>10</v>
      </c>
      <c r="D12" s="199">
        <v>5900000</v>
      </c>
      <c r="E12" s="199">
        <f>D12*115%</f>
        <v>6785000</v>
      </c>
      <c r="F12" s="200">
        <f>D12*120%</f>
        <v>7080000</v>
      </c>
      <c r="G12" s="200">
        <f>D12*0.95</f>
        <v>5605000</v>
      </c>
      <c r="H12" s="180" t="s">
        <v>21</v>
      </c>
    </row>
    <row r="13" spans="1:11" ht="36" customHeight="1">
      <c r="A13" s="181" t="s">
        <v>23</v>
      </c>
      <c r="B13" s="182" t="s">
        <v>13</v>
      </c>
      <c r="C13" s="182" t="s">
        <v>15</v>
      </c>
      <c r="D13" s="183">
        <f>8850000*0.95</f>
        <v>8407500</v>
      </c>
      <c r="E13" s="183">
        <f>D13*115%</f>
        <v>9668625</v>
      </c>
      <c r="F13" s="184">
        <f>D13*120%</f>
        <v>10089000</v>
      </c>
      <c r="G13" s="184">
        <f>D13*0.95</f>
        <v>7987125</v>
      </c>
      <c r="H13" s="185" t="s">
        <v>21</v>
      </c>
    </row>
    <row r="15" spans="1:11" ht="15.75">
      <c r="B15" s="207" t="s">
        <v>25</v>
      </c>
      <c r="C15" s="208"/>
      <c r="D15" s="208"/>
      <c r="E15" s="208"/>
      <c r="F15" s="208"/>
      <c r="G15" s="209"/>
      <c r="H15" s="207" t="s">
        <v>26</v>
      </c>
      <c r="I15" s="208"/>
      <c r="J15" s="208"/>
      <c r="K15" s="210"/>
    </row>
    <row r="16" spans="1:11" ht="15.75">
      <c r="B16" s="211" t="s">
        <v>28</v>
      </c>
      <c r="C16" s="212" t="s">
        <v>29</v>
      </c>
      <c r="D16" s="213" t="s">
        <v>30</v>
      </c>
      <c r="E16" s="212"/>
      <c r="F16" s="213" t="s">
        <v>31</v>
      </c>
      <c r="G16" s="214"/>
      <c r="H16" s="46" t="s">
        <v>32</v>
      </c>
      <c r="I16" s="215" t="s">
        <v>30</v>
      </c>
      <c r="J16" s="216"/>
      <c r="K16" s="53" t="s">
        <v>33</v>
      </c>
    </row>
    <row r="17" spans="2:11" ht="63">
      <c r="B17" s="47" t="s">
        <v>34</v>
      </c>
      <c r="C17" s="48" t="s">
        <v>35</v>
      </c>
      <c r="D17" s="48" t="s">
        <v>34</v>
      </c>
      <c r="E17" s="48" t="s">
        <v>35</v>
      </c>
      <c r="F17" s="48" t="s">
        <v>36</v>
      </c>
      <c r="G17" s="49" t="s">
        <v>37</v>
      </c>
      <c r="H17" s="47" t="s">
        <v>38</v>
      </c>
      <c r="I17" s="48" t="s">
        <v>39</v>
      </c>
      <c r="J17" s="54" t="s">
        <v>38</v>
      </c>
      <c r="K17" s="49" t="s">
        <v>40</v>
      </c>
    </row>
    <row r="18" spans="2:11" ht="15.75">
      <c r="B18" s="50">
        <v>1</v>
      </c>
      <c r="C18" s="51">
        <v>2</v>
      </c>
      <c r="D18" s="51">
        <v>3</v>
      </c>
      <c r="E18" s="51">
        <v>4</v>
      </c>
      <c r="F18" s="51">
        <v>5</v>
      </c>
      <c r="G18" s="52">
        <v>6</v>
      </c>
      <c r="H18" s="50">
        <v>7</v>
      </c>
      <c r="I18" s="51">
        <v>8</v>
      </c>
      <c r="J18" s="55">
        <v>9</v>
      </c>
      <c r="K18" s="52">
        <v>10</v>
      </c>
    </row>
  </sheetData>
  <mergeCells count="6">
    <mergeCell ref="B15:G15"/>
    <mergeCell ref="H15:K15"/>
    <mergeCell ref="B16:C16"/>
    <mergeCell ref="D16:E16"/>
    <mergeCell ref="F16:G16"/>
    <mergeCell ref="I16:J16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L92"/>
  <sheetViews>
    <sheetView topLeftCell="A70" zoomScale="90" zoomScaleNormal="90" workbookViewId="0">
      <selection activeCell="A62" sqref="A62:A63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1.85546875" customWidth="1"/>
    <col min="14" max="14" width="10.140625" customWidth="1"/>
  </cols>
  <sheetData>
    <row r="1" spans="1:12" s="1" customFormat="1" ht="27.75" customHeight="1">
      <c r="A1" s="239" t="s">
        <v>117</v>
      </c>
      <c r="E1" s="4"/>
      <c r="G1" s="4"/>
      <c r="H1" s="4"/>
      <c r="I1" s="4"/>
      <c r="J1" s="4"/>
      <c r="K1" s="4"/>
      <c r="L1" s="4"/>
    </row>
    <row r="2" spans="1:12" ht="45" customHeight="1">
      <c r="A2" s="107" t="s">
        <v>41</v>
      </c>
      <c r="B2" s="108" t="s">
        <v>42</v>
      </c>
      <c r="C2" s="109" t="s">
        <v>43</v>
      </c>
      <c r="D2" s="108" t="s">
        <v>44</v>
      </c>
      <c r="E2" s="109" t="s">
        <v>45</v>
      </c>
      <c r="F2" s="108" t="s">
        <v>44</v>
      </c>
      <c r="G2" s="109" t="s">
        <v>46</v>
      </c>
      <c r="H2" s="108" t="s">
        <v>44</v>
      </c>
      <c r="I2" s="109" t="s">
        <v>47</v>
      </c>
      <c r="J2" s="108" t="s">
        <v>44</v>
      </c>
      <c r="K2" s="157" t="s">
        <v>48</v>
      </c>
      <c r="L2" s="158"/>
    </row>
    <row r="3" spans="1:12">
      <c r="A3" s="110" t="s">
        <v>49</v>
      </c>
      <c r="B3" s="111">
        <v>56.58</v>
      </c>
      <c r="C3" s="112">
        <f>D3/B3</f>
        <v>103135.85</v>
      </c>
      <c r="D3" s="113">
        <v>5835426.3930000002</v>
      </c>
      <c r="E3" s="112">
        <f>F3/B3</f>
        <v>103712.35</v>
      </c>
      <c r="F3" s="113">
        <v>5868044.7630000003</v>
      </c>
      <c r="G3" s="112">
        <f>H3/B3</f>
        <v>104288.85</v>
      </c>
      <c r="H3" s="113">
        <v>5900663.1330000004</v>
      </c>
      <c r="I3" s="112">
        <f>J3/B3</f>
        <v>103712.35</v>
      </c>
      <c r="J3" s="113">
        <v>5868044.7630000003</v>
      </c>
      <c r="K3" s="19" t="s">
        <v>50</v>
      </c>
      <c r="L3" s="159"/>
    </row>
    <row r="4" spans="1:12">
      <c r="A4" s="110" t="s">
        <v>49</v>
      </c>
      <c r="B4" s="114">
        <v>58.22</v>
      </c>
      <c r="C4" s="112">
        <f t="shared" ref="C4:C30" si="0">D4/B4</f>
        <v>102617</v>
      </c>
      <c r="D4" s="115">
        <v>5974361.7400000002</v>
      </c>
      <c r="E4" s="116">
        <f t="shared" ref="E4:E30" si="1">F4/B4</f>
        <v>103193.5</v>
      </c>
      <c r="F4" s="115">
        <v>6007925.5700000003</v>
      </c>
      <c r="G4" s="116">
        <f t="shared" ref="G4:G30" si="2">H4/B4</f>
        <v>103770</v>
      </c>
      <c r="H4" s="115">
        <v>6041489.4000000004</v>
      </c>
      <c r="I4" s="116">
        <f t="shared" ref="I4:I30" si="3">J4/B4</f>
        <v>103193.5</v>
      </c>
      <c r="J4" s="115">
        <v>6007925.5700000003</v>
      </c>
      <c r="K4" s="160" t="s">
        <v>50</v>
      </c>
      <c r="L4" s="159"/>
    </row>
    <row r="5" spans="1:12">
      <c r="A5" s="117" t="s">
        <v>51</v>
      </c>
      <c r="B5" s="118">
        <v>21.6</v>
      </c>
      <c r="C5" s="119">
        <f t="shared" si="0"/>
        <v>150822.777</v>
      </c>
      <c r="D5" s="120">
        <v>3257771.9832000001</v>
      </c>
      <c r="E5" s="119">
        <f t="shared" si="1"/>
        <v>151399.277</v>
      </c>
      <c r="F5" s="120">
        <v>3270224.3832</v>
      </c>
      <c r="G5" s="119">
        <f t="shared" si="2"/>
        <v>151975.777</v>
      </c>
      <c r="H5" s="120">
        <v>3282676.7831999999</v>
      </c>
      <c r="I5" s="119">
        <f t="shared" si="3"/>
        <v>151399.277</v>
      </c>
      <c r="J5" s="120">
        <v>3270224.3832</v>
      </c>
      <c r="K5" s="161" t="s">
        <v>50</v>
      </c>
      <c r="L5" s="159"/>
    </row>
    <row r="6" spans="1:12">
      <c r="A6" s="121" t="s">
        <v>52</v>
      </c>
      <c r="B6" s="111">
        <v>37.549999999999997</v>
      </c>
      <c r="C6" s="122">
        <f t="shared" si="0"/>
        <v>118564.143</v>
      </c>
      <c r="D6" s="123">
        <v>4452083.56965</v>
      </c>
      <c r="E6" s="122">
        <f t="shared" si="1"/>
        <v>119140.643</v>
      </c>
      <c r="F6" s="123">
        <v>4473731.1446500001</v>
      </c>
      <c r="G6" s="122">
        <f t="shared" si="2"/>
        <v>119717.143</v>
      </c>
      <c r="H6" s="123">
        <v>4495378.7196500003</v>
      </c>
      <c r="I6" s="122">
        <f t="shared" si="3"/>
        <v>119140.643</v>
      </c>
      <c r="J6" s="123">
        <v>4473731.1446500001</v>
      </c>
      <c r="K6" s="19" t="s">
        <v>50</v>
      </c>
      <c r="L6" s="159"/>
    </row>
    <row r="7" spans="1:12">
      <c r="A7" s="110" t="s">
        <v>53</v>
      </c>
      <c r="B7" s="111">
        <v>56.58</v>
      </c>
      <c r="C7" s="112">
        <f t="shared" si="0"/>
        <v>103135.85</v>
      </c>
      <c r="D7" s="113">
        <v>5835426.3930000002</v>
      </c>
      <c r="E7" s="112">
        <f t="shared" si="1"/>
        <v>103712.35</v>
      </c>
      <c r="F7" s="113">
        <v>5868044.7630000003</v>
      </c>
      <c r="G7" s="112">
        <f t="shared" si="2"/>
        <v>104288.85</v>
      </c>
      <c r="H7" s="113">
        <v>5900663.1330000004</v>
      </c>
      <c r="I7" s="112">
        <f t="shared" si="3"/>
        <v>103712.35</v>
      </c>
      <c r="J7" s="113">
        <v>5868044.7630000003</v>
      </c>
      <c r="K7" s="19" t="s">
        <v>50</v>
      </c>
      <c r="L7" s="159"/>
    </row>
    <row r="8" spans="1:12">
      <c r="A8" s="124" t="s">
        <v>54</v>
      </c>
      <c r="B8" s="125">
        <v>58.22</v>
      </c>
      <c r="C8" s="126">
        <f t="shared" si="0"/>
        <v>102617</v>
      </c>
      <c r="D8" s="127">
        <v>5974361.7400000002</v>
      </c>
      <c r="E8" s="126">
        <f t="shared" si="1"/>
        <v>103193.5</v>
      </c>
      <c r="F8" s="127">
        <v>6007925.5700000003</v>
      </c>
      <c r="G8" s="126">
        <f t="shared" si="2"/>
        <v>103770</v>
      </c>
      <c r="H8" s="23">
        <v>6041489.4000000004</v>
      </c>
      <c r="I8" s="116">
        <f t="shared" si="3"/>
        <v>103193.5</v>
      </c>
      <c r="J8" s="115">
        <v>6007925.5700000003</v>
      </c>
      <c r="K8" s="160" t="s">
        <v>50</v>
      </c>
      <c r="L8" s="159"/>
    </row>
    <row r="9" spans="1:12">
      <c r="A9" s="117" t="s">
        <v>55</v>
      </c>
      <c r="B9" s="118">
        <v>21.6</v>
      </c>
      <c r="C9" s="119">
        <f t="shared" si="0"/>
        <v>150822.777</v>
      </c>
      <c r="D9" s="120">
        <v>3257771.9832000001</v>
      </c>
      <c r="E9" s="119">
        <f t="shared" si="1"/>
        <v>151399.277</v>
      </c>
      <c r="F9" s="120">
        <v>3270224.3832</v>
      </c>
      <c r="G9" s="119">
        <f t="shared" si="2"/>
        <v>151975.777</v>
      </c>
      <c r="H9" s="120">
        <v>3282676.7831999999</v>
      </c>
      <c r="I9" s="119">
        <f t="shared" si="3"/>
        <v>151399.277</v>
      </c>
      <c r="J9" s="120">
        <v>3270224.3832</v>
      </c>
      <c r="K9" s="161" t="s">
        <v>56</v>
      </c>
      <c r="L9" s="159"/>
    </row>
    <row r="10" spans="1:12">
      <c r="A10" s="121" t="s">
        <v>57</v>
      </c>
      <c r="B10" s="111">
        <v>37.549999999999997</v>
      </c>
      <c r="C10" s="122">
        <f t="shared" si="0"/>
        <v>118564.143</v>
      </c>
      <c r="D10" s="123">
        <v>4452083.56965</v>
      </c>
      <c r="E10" s="122">
        <f t="shared" si="1"/>
        <v>119140.643</v>
      </c>
      <c r="F10" s="123">
        <v>4473731.1446500001</v>
      </c>
      <c r="G10" s="122">
        <f t="shared" si="2"/>
        <v>119717.143</v>
      </c>
      <c r="H10" s="123">
        <v>4495378.7196500003</v>
      </c>
      <c r="I10" s="122">
        <f t="shared" si="3"/>
        <v>119140.643</v>
      </c>
      <c r="J10" s="123">
        <v>4473731.1446500001</v>
      </c>
      <c r="K10" s="19" t="s">
        <v>56</v>
      </c>
      <c r="L10" s="159"/>
    </row>
    <row r="11" spans="1:12">
      <c r="A11" s="110" t="s">
        <v>58</v>
      </c>
      <c r="B11" s="111">
        <v>56.58</v>
      </c>
      <c r="C11" s="112">
        <f t="shared" si="0"/>
        <v>103135.85</v>
      </c>
      <c r="D11" s="113">
        <v>5835426.3930000002</v>
      </c>
      <c r="E11" s="112">
        <f t="shared" si="1"/>
        <v>103712.35</v>
      </c>
      <c r="F11" s="113">
        <v>5868044.7630000003</v>
      </c>
      <c r="G11" s="112">
        <f t="shared" si="2"/>
        <v>104288.85</v>
      </c>
      <c r="H11" s="113">
        <v>5900663.1330000004</v>
      </c>
      <c r="I11" s="112">
        <f t="shared" si="3"/>
        <v>103712.35</v>
      </c>
      <c r="J11" s="113">
        <v>5868044.7630000003</v>
      </c>
      <c r="K11" s="19" t="s">
        <v>56</v>
      </c>
      <c r="L11" s="159"/>
    </row>
    <row r="12" spans="1:12">
      <c r="A12" s="124" t="s">
        <v>59</v>
      </c>
      <c r="B12" s="125">
        <v>58.22</v>
      </c>
      <c r="C12" s="126">
        <f t="shared" si="0"/>
        <v>102617</v>
      </c>
      <c r="D12" s="127">
        <v>5974361.7400000002</v>
      </c>
      <c r="E12" s="126">
        <f t="shared" si="1"/>
        <v>103193.5</v>
      </c>
      <c r="F12" s="127">
        <v>6007925.5700000003</v>
      </c>
      <c r="G12" s="126">
        <f t="shared" si="2"/>
        <v>103770</v>
      </c>
      <c r="H12" s="23">
        <v>6041489.4000000004</v>
      </c>
      <c r="I12" s="116">
        <f t="shared" si="3"/>
        <v>103193.5</v>
      </c>
      <c r="J12" s="115">
        <v>6007925.5700000003</v>
      </c>
      <c r="K12" s="160" t="s">
        <v>56</v>
      </c>
      <c r="L12" s="159"/>
    </row>
    <row r="13" spans="1:12">
      <c r="A13" s="121" t="s">
        <v>60</v>
      </c>
      <c r="B13" s="128">
        <v>21.6</v>
      </c>
      <c r="C13" s="129">
        <f t="shared" si="0"/>
        <v>165378.24900000001</v>
      </c>
      <c r="D13" s="130">
        <v>3572170.1784000001</v>
      </c>
      <c r="E13" s="129">
        <f t="shared" si="1"/>
        <v>165954.74900000001</v>
      </c>
      <c r="F13" s="130">
        <v>3584622.5784</v>
      </c>
      <c r="G13" s="129">
        <f t="shared" si="2"/>
        <v>166531.24900000001</v>
      </c>
      <c r="H13" s="130">
        <v>3597074.9783999999</v>
      </c>
      <c r="I13" s="129">
        <f t="shared" si="3"/>
        <v>165954.74900000001</v>
      </c>
      <c r="J13" s="130">
        <v>3584622.5784</v>
      </c>
      <c r="K13" s="36" t="s">
        <v>61</v>
      </c>
      <c r="L13" s="159"/>
    </row>
    <row r="14" spans="1:12">
      <c r="A14" s="110" t="s">
        <v>62</v>
      </c>
      <c r="B14" s="111">
        <v>37.549999999999997</v>
      </c>
      <c r="C14" s="129">
        <f t="shared" si="0"/>
        <v>132981.255</v>
      </c>
      <c r="D14" s="130">
        <v>4993446.1252499996</v>
      </c>
      <c r="E14" s="129">
        <f t="shared" si="1"/>
        <v>133557.755</v>
      </c>
      <c r="F14" s="130">
        <v>5015093.7002499998</v>
      </c>
      <c r="G14" s="129">
        <f t="shared" si="2"/>
        <v>134134.255</v>
      </c>
      <c r="H14" s="130">
        <v>5036741.2752499999</v>
      </c>
      <c r="I14" s="129">
        <f t="shared" si="3"/>
        <v>133557.755</v>
      </c>
      <c r="J14" s="130">
        <v>5015093.7002499998</v>
      </c>
      <c r="K14" s="36" t="s">
        <v>61</v>
      </c>
      <c r="L14" s="162"/>
    </row>
    <row r="15" spans="1:12">
      <c r="A15" s="110" t="s">
        <v>63</v>
      </c>
      <c r="B15" s="111">
        <v>56.58</v>
      </c>
      <c r="C15" s="129">
        <f t="shared" si="0"/>
        <v>114784.609</v>
      </c>
      <c r="D15" s="130">
        <v>6494513.17722</v>
      </c>
      <c r="E15" s="129">
        <f t="shared" si="1"/>
        <v>115361.109</v>
      </c>
      <c r="F15" s="130">
        <v>6527131.5472200001</v>
      </c>
      <c r="G15" s="129">
        <f t="shared" si="2"/>
        <v>115937.609</v>
      </c>
      <c r="H15" s="130">
        <v>6559749.9172200002</v>
      </c>
      <c r="I15" s="129">
        <f t="shared" si="3"/>
        <v>115361.109</v>
      </c>
      <c r="J15" s="130">
        <v>6527131.5472200001</v>
      </c>
      <c r="K15" s="36" t="s">
        <v>61</v>
      </c>
      <c r="L15" s="159"/>
    </row>
    <row r="16" spans="1:12">
      <c r="A16" s="124" t="s">
        <v>63</v>
      </c>
      <c r="B16" s="125">
        <v>58.22</v>
      </c>
      <c r="C16" s="126">
        <f t="shared" si="0"/>
        <v>114007.48699999999</v>
      </c>
      <c r="D16" s="127">
        <v>6637515.8931400003</v>
      </c>
      <c r="E16" s="126">
        <f t="shared" si="1"/>
        <v>115160.48699999999</v>
      </c>
      <c r="F16" s="127">
        <v>6704643.5531400004</v>
      </c>
      <c r="G16" s="126">
        <f t="shared" si="2"/>
        <v>115160.48699999999</v>
      </c>
      <c r="H16" s="127">
        <v>6704643.5531400004</v>
      </c>
      <c r="I16" s="126">
        <f t="shared" si="3"/>
        <v>114583.98699999999</v>
      </c>
      <c r="J16" s="23">
        <v>6671079.7231400004</v>
      </c>
      <c r="K16" s="25" t="s">
        <v>61</v>
      </c>
      <c r="L16" s="159"/>
    </row>
    <row r="17" spans="1:12" ht="18.75" customHeight="1">
      <c r="A17" s="121" t="s">
        <v>64</v>
      </c>
      <c r="B17" s="128">
        <v>21.6</v>
      </c>
      <c r="C17" s="129">
        <f t="shared" si="0"/>
        <v>152338.97200000001</v>
      </c>
      <c r="D17" s="130">
        <v>3290521.7952000001</v>
      </c>
      <c r="E17" s="129">
        <f t="shared" si="1"/>
        <v>152915.47200000001</v>
      </c>
      <c r="F17" s="130">
        <v>3302974.1952</v>
      </c>
      <c r="G17" s="129">
        <f t="shared" si="2"/>
        <v>153491.97200000001</v>
      </c>
      <c r="H17" s="130">
        <v>3315426.5951999999</v>
      </c>
      <c r="I17" s="129">
        <f t="shared" si="3"/>
        <v>152915.47200000001</v>
      </c>
      <c r="J17" s="130">
        <v>3302974.1952</v>
      </c>
      <c r="K17" s="36" t="s">
        <v>65</v>
      </c>
      <c r="L17" s="159"/>
    </row>
    <row r="18" spans="1:12">
      <c r="A18" s="110" t="s">
        <v>66</v>
      </c>
      <c r="B18" s="111">
        <v>37.549999999999997</v>
      </c>
      <c r="C18" s="129">
        <f t="shared" si="0"/>
        <v>124706.174</v>
      </c>
      <c r="D18" s="130">
        <v>4682716.8337000003</v>
      </c>
      <c r="E18" s="129">
        <f t="shared" si="1"/>
        <v>125282.674</v>
      </c>
      <c r="F18" s="130">
        <v>4704364.4086999996</v>
      </c>
      <c r="G18" s="129">
        <f t="shared" si="2"/>
        <v>125859.174</v>
      </c>
      <c r="H18" s="130">
        <v>4726011.9836999997</v>
      </c>
      <c r="I18" s="129">
        <f t="shared" si="3"/>
        <v>125282.674</v>
      </c>
      <c r="J18" s="130">
        <v>4704364.4086999996</v>
      </c>
      <c r="K18" s="36" t="s">
        <v>65</v>
      </c>
      <c r="L18" s="159"/>
    </row>
    <row r="19" spans="1:12">
      <c r="A19" s="110" t="s">
        <v>67</v>
      </c>
      <c r="B19" s="111">
        <v>56.58</v>
      </c>
      <c r="C19" s="129">
        <f t="shared" si="0"/>
        <v>109268.65700000001</v>
      </c>
      <c r="D19" s="130">
        <v>6182420.6130600004</v>
      </c>
      <c r="E19" s="129">
        <f t="shared" si="1"/>
        <v>109845.15700000001</v>
      </c>
      <c r="F19" s="130">
        <v>6215038.9830600005</v>
      </c>
      <c r="G19" s="129">
        <f t="shared" si="2"/>
        <v>110421.65700000001</v>
      </c>
      <c r="H19" s="130">
        <v>6247657.3530599996</v>
      </c>
      <c r="I19" s="129">
        <f t="shared" si="3"/>
        <v>109845.15700000001</v>
      </c>
      <c r="J19" s="130">
        <v>6215038.9830600005</v>
      </c>
      <c r="K19" s="36" t="s">
        <v>65</v>
      </c>
      <c r="L19" s="159"/>
    </row>
    <row r="20" spans="1:12">
      <c r="A20" s="124" t="s">
        <v>67</v>
      </c>
      <c r="B20" s="125">
        <v>58.22</v>
      </c>
      <c r="C20" s="126">
        <f t="shared" si="0"/>
        <v>108605.682</v>
      </c>
      <c r="D20" s="127">
        <v>6323022.8060400002</v>
      </c>
      <c r="E20" s="126">
        <f t="shared" si="1"/>
        <v>109182.182</v>
      </c>
      <c r="F20" s="127">
        <v>6356586.6360400002</v>
      </c>
      <c r="G20" s="126">
        <f t="shared" si="2"/>
        <v>109758.682</v>
      </c>
      <c r="H20" s="127">
        <v>6390150.4660400003</v>
      </c>
      <c r="I20" s="126">
        <f t="shared" si="3"/>
        <v>109182.182</v>
      </c>
      <c r="J20" s="23">
        <v>6356586.6360400002</v>
      </c>
      <c r="K20" s="25" t="s">
        <v>65</v>
      </c>
      <c r="L20" s="159"/>
    </row>
    <row r="21" spans="1:12">
      <c r="A21" s="121" t="s">
        <v>68</v>
      </c>
      <c r="B21" s="128">
        <v>21.6</v>
      </c>
      <c r="C21" s="129">
        <f t="shared" si="0"/>
        <v>152338.97200000001</v>
      </c>
      <c r="D21" s="130">
        <v>3290521.7952000001</v>
      </c>
      <c r="E21" s="129">
        <f t="shared" si="1"/>
        <v>152915.47200000001</v>
      </c>
      <c r="F21" s="130">
        <v>3302974.1952</v>
      </c>
      <c r="G21" s="129">
        <f t="shared" si="2"/>
        <v>153491.97200000001</v>
      </c>
      <c r="H21" s="130">
        <v>3315426.5951999999</v>
      </c>
      <c r="I21" s="129">
        <f t="shared" si="3"/>
        <v>152915.47200000001</v>
      </c>
      <c r="J21" s="130">
        <v>3302974.1952</v>
      </c>
      <c r="K21" s="36" t="s">
        <v>69</v>
      </c>
      <c r="L21" s="159"/>
    </row>
    <row r="22" spans="1:12">
      <c r="A22" s="110" t="s">
        <v>70</v>
      </c>
      <c r="B22" s="111">
        <v>37.549999999999997</v>
      </c>
      <c r="C22" s="129">
        <f t="shared" si="0"/>
        <v>130848.205</v>
      </c>
      <c r="D22" s="130">
        <v>4913350.0977499997</v>
      </c>
      <c r="E22" s="129">
        <f t="shared" si="1"/>
        <v>131423.552</v>
      </c>
      <c r="F22" s="130">
        <v>4934954.3776000002</v>
      </c>
      <c r="G22" s="129">
        <f t="shared" si="2"/>
        <v>132000.052</v>
      </c>
      <c r="H22" s="130">
        <v>4956601.9526000004</v>
      </c>
      <c r="I22" s="129">
        <f t="shared" si="3"/>
        <v>131423.552</v>
      </c>
      <c r="J22" s="130">
        <v>4934954.3776000002</v>
      </c>
      <c r="K22" s="36" t="s">
        <v>71</v>
      </c>
      <c r="L22" s="162"/>
    </row>
    <row r="23" spans="1:12">
      <c r="A23" s="110" t="s">
        <v>72</v>
      </c>
      <c r="B23" s="111">
        <v>56.58</v>
      </c>
      <c r="C23" s="129">
        <f t="shared" si="0"/>
        <v>112305.659</v>
      </c>
      <c r="D23" s="130">
        <v>6354254.1862199996</v>
      </c>
      <c r="E23" s="129">
        <f t="shared" si="1"/>
        <v>112882.159</v>
      </c>
      <c r="F23" s="130">
        <v>6386872.5562199997</v>
      </c>
      <c r="G23" s="129">
        <f t="shared" si="2"/>
        <v>113458.659</v>
      </c>
      <c r="H23" s="130">
        <v>6419490.9262199998</v>
      </c>
      <c r="I23" s="129">
        <f t="shared" si="3"/>
        <v>112882.159</v>
      </c>
      <c r="J23" s="130">
        <v>6386872.5562199997</v>
      </c>
      <c r="K23" s="36" t="s">
        <v>71</v>
      </c>
      <c r="L23" s="159"/>
    </row>
    <row r="24" spans="1:12" ht="16.5" customHeight="1">
      <c r="A24" s="124" t="s">
        <v>72</v>
      </c>
      <c r="B24" s="125">
        <v>58.22</v>
      </c>
      <c r="C24" s="126">
        <f t="shared" si="0"/>
        <v>111528.537</v>
      </c>
      <c r="D24" s="127">
        <v>6493191.4241399998</v>
      </c>
      <c r="E24" s="126">
        <f t="shared" si="1"/>
        <v>112105.037</v>
      </c>
      <c r="F24" s="127">
        <v>6526755.2541399999</v>
      </c>
      <c r="G24" s="126">
        <f t="shared" si="2"/>
        <v>112681.537</v>
      </c>
      <c r="H24" s="127">
        <v>6560319.0841399999</v>
      </c>
      <c r="I24" s="126">
        <f t="shared" si="3"/>
        <v>112105.037</v>
      </c>
      <c r="J24" s="23">
        <v>6526755.2541399999</v>
      </c>
      <c r="K24" s="25" t="s">
        <v>71</v>
      </c>
      <c r="L24" s="159"/>
    </row>
    <row r="25" spans="1:12">
      <c r="A25" s="121" t="s">
        <v>73</v>
      </c>
      <c r="B25" s="131">
        <v>21.6</v>
      </c>
      <c r="C25" s="132">
        <f t="shared" si="0"/>
        <v>163014.59899999999</v>
      </c>
      <c r="D25" s="133">
        <v>3521115.3383999998</v>
      </c>
      <c r="E25" s="132">
        <f t="shared" si="1"/>
        <v>163591.09899999999</v>
      </c>
      <c r="F25" s="133">
        <v>3533567.7384000001</v>
      </c>
      <c r="G25" s="119">
        <f t="shared" si="2"/>
        <v>164167.59899999999</v>
      </c>
      <c r="H25" s="130">
        <v>3546020.1384000001</v>
      </c>
      <c r="I25" s="132">
        <f t="shared" si="3"/>
        <v>163591.09899999999</v>
      </c>
      <c r="J25" s="141">
        <v>3533567.7384000001</v>
      </c>
      <c r="K25" s="163" t="s">
        <v>71</v>
      </c>
      <c r="L25" s="159"/>
    </row>
    <row r="26" spans="1:12">
      <c r="A26" s="110" t="s">
        <v>74</v>
      </c>
      <c r="B26" s="134">
        <v>37.549999999999997</v>
      </c>
      <c r="C26" s="135">
        <f t="shared" si="0"/>
        <v>130848.205</v>
      </c>
      <c r="D26" s="133">
        <v>4913350.0977499997</v>
      </c>
      <c r="E26" s="135">
        <f t="shared" si="1"/>
        <v>131424.70499999999</v>
      </c>
      <c r="F26" s="133">
        <v>4934997.6727499999</v>
      </c>
      <c r="G26" s="129">
        <f t="shared" si="2"/>
        <v>132000.052</v>
      </c>
      <c r="H26" s="130">
        <v>4956601.9526000004</v>
      </c>
      <c r="I26" s="135">
        <f t="shared" si="3"/>
        <v>131423.552</v>
      </c>
      <c r="J26" s="35">
        <v>4934954.3776000002</v>
      </c>
      <c r="K26" s="163" t="s">
        <v>71</v>
      </c>
      <c r="L26" s="162"/>
    </row>
    <row r="27" spans="1:12">
      <c r="A27" s="110" t="s">
        <v>75</v>
      </c>
      <c r="B27" s="134">
        <v>56.58</v>
      </c>
      <c r="C27" s="135">
        <f t="shared" si="0"/>
        <v>112305.659</v>
      </c>
      <c r="D27" s="133">
        <v>6354254.1862199996</v>
      </c>
      <c r="E27" s="135">
        <f t="shared" si="1"/>
        <v>112882.159</v>
      </c>
      <c r="F27" s="133">
        <v>6386872.5562199997</v>
      </c>
      <c r="G27" s="129">
        <f t="shared" si="2"/>
        <v>113458.659</v>
      </c>
      <c r="H27" s="130">
        <v>6419490.9262199998</v>
      </c>
      <c r="I27" s="135">
        <f t="shared" si="3"/>
        <v>112882.159</v>
      </c>
      <c r="J27" s="35">
        <v>6386872.5562199997</v>
      </c>
      <c r="K27" s="163" t="s">
        <v>71</v>
      </c>
      <c r="L27" s="159"/>
    </row>
    <row r="28" spans="1:12">
      <c r="A28" s="124" t="s">
        <v>75</v>
      </c>
      <c r="B28" s="136">
        <v>58.22</v>
      </c>
      <c r="C28" s="137">
        <f t="shared" si="0"/>
        <v>111528.537</v>
      </c>
      <c r="D28" s="138">
        <v>6493191.4241399998</v>
      </c>
      <c r="E28" s="137">
        <f t="shared" si="1"/>
        <v>112105.037</v>
      </c>
      <c r="F28" s="138">
        <v>6526755.2541399999</v>
      </c>
      <c r="G28" s="126">
        <f t="shared" si="2"/>
        <v>112681.537</v>
      </c>
      <c r="H28" s="127">
        <v>6560319.0841399999</v>
      </c>
      <c r="I28" s="137">
        <f t="shared" si="3"/>
        <v>112105.037</v>
      </c>
      <c r="J28" s="23">
        <v>6526755.2541399999</v>
      </c>
      <c r="K28" s="164" t="s">
        <v>71</v>
      </c>
      <c r="L28" s="159"/>
    </row>
    <row r="29" spans="1:12">
      <c r="A29" s="110" t="s">
        <v>76</v>
      </c>
      <c r="B29" s="139">
        <v>35.67</v>
      </c>
      <c r="C29" s="132">
        <f t="shared" si="0"/>
        <v>121204.51300000001</v>
      </c>
      <c r="D29" s="140">
        <v>4323364.9787100004</v>
      </c>
      <c r="E29" s="132">
        <f t="shared" si="1"/>
        <v>121781.01300000001</v>
      </c>
      <c r="F29" s="140">
        <v>4343928.7337100003</v>
      </c>
      <c r="G29" s="119">
        <f t="shared" si="2"/>
        <v>122357.51300000001</v>
      </c>
      <c r="H29" s="141">
        <v>4364492.4887100002</v>
      </c>
      <c r="I29" s="132">
        <f t="shared" si="3"/>
        <v>121781.01300000001</v>
      </c>
      <c r="J29" s="141">
        <v>4343928.7337100003</v>
      </c>
      <c r="K29" s="165" t="s">
        <v>56</v>
      </c>
      <c r="L29" s="159"/>
    </row>
    <row r="30" spans="1:12">
      <c r="A30" s="124" t="s">
        <v>76</v>
      </c>
      <c r="B30" s="142">
        <v>37.090000000000003</v>
      </c>
      <c r="C30" s="143">
        <f t="shared" si="0"/>
        <v>120237.14599999999</v>
      </c>
      <c r="D30" s="144">
        <v>4459595.7451400002</v>
      </c>
      <c r="E30" s="143">
        <f t="shared" si="1"/>
        <v>120813.64599999999</v>
      </c>
      <c r="F30" s="144">
        <v>4480978.13014</v>
      </c>
      <c r="G30" s="116">
        <f t="shared" si="2"/>
        <v>121390.14599999999</v>
      </c>
      <c r="H30" s="145">
        <v>4502360.5151399998</v>
      </c>
      <c r="I30" s="143">
        <f t="shared" si="3"/>
        <v>120813.64599999999</v>
      </c>
      <c r="J30" s="145">
        <v>4480978.13014</v>
      </c>
      <c r="K30" s="166" t="s">
        <v>56</v>
      </c>
      <c r="L30" s="159"/>
    </row>
    <row r="31" spans="1:12">
      <c r="D31" s="45"/>
    </row>
    <row r="32" spans="1:12" ht="18.75">
      <c r="A32" s="239" t="s">
        <v>118</v>
      </c>
      <c r="B32" s="1"/>
      <c r="C32" s="1"/>
      <c r="D32" s="1"/>
      <c r="E32" s="4"/>
      <c r="F32" s="1"/>
      <c r="G32" s="4"/>
      <c r="H32" s="4"/>
      <c r="I32" s="4"/>
      <c r="J32" s="4"/>
      <c r="K32" s="4"/>
    </row>
    <row r="33" spans="1:11" ht="30">
      <c r="A33" s="107" t="s">
        <v>41</v>
      </c>
      <c r="B33" s="108" t="s">
        <v>42</v>
      </c>
      <c r="C33" s="109" t="s">
        <v>43</v>
      </c>
      <c r="D33" s="108" t="s">
        <v>44</v>
      </c>
      <c r="E33" s="109" t="s">
        <v>45</v>
      </c>
      <c r="F33" s="108" t="s">
        <v>44</v>
      </c>
      <c r="G33" s="109" t="s">
        <v>46</v>
      </c>
      <c r="H33" s="108" t="s">
        <v>44</v>
      </c>
      <c r="I33" s="109" t="s">
        <v>47</v>
      </c>
      <c r="J33" s="108" t="s">
        <v>44</v>
      </c>
      <c r="K33" s="157" t="s">
        <v>48</v>
      </c>
    </row>
    <row r="34" spans="1:11">
      <c r="A34" s="110" t="s">
        <v>49</v>
      </c>
      <c r="B34" s="111">
        <v>56.58</v>
      </c>
      <c r="C34" s="112">
        <f>D34/B34</f>
        <v>100720.7</v>
      </c>
      <c r="D34" s="113">
        <v>5698777.2060000002</v>
      </c>
      <c r="E34" s="112">
        <f>F34/B34</f>
        <v>101283.7</v>
      </c>
      <c r="F34" s="113">
        <v>5730631.7460000003</v>
      </c>
      <c r="G34" s="112">
        <f>H34/B34</f>
        <v>101846.7</v>
      </c>
      <c r="H34" s="113">
        <v>5762486.2860000003</v>
      </c>
      <c r="I34" s="112">
        <f>J34/B34</f>
        <v>101283.7</v>
      </c>
      <c r="J34" s="113">
        <v>5730631.7460000003</v>
      </c>
      <c r="K34" s="19" t="s">
        <v>50</v>
      </c>
    </row>
    <row r="35" spans="1:11">
      <c r="A35" s="110" t="s">
        <v>49</v>
      </c>
      <c r="B35" s="114">
        <v>58.22</v>
      </c>
      <c r="C35" s="112">
        <f t="shared" ref="C35:C61" si="4">D35/B35</f>
        <v>100214</v>
      </c>
      <c r="D35" s="115">
        <v>5834459.0800000001</v>
      </c>
      <c r="E35" s="116">
        <f t="shared" ref="E35:E61" si="5">F35/B35</f>
        <v>100777</v>
      </c>
      <c r="F35" s="115">
        <v>5867236.9400000004</v>
      </c>
      <c r="G35" s="116">
        <f t="shared" ref="G35:G61" si="6">H35/B35</f>
        <v>101340</v>
      </c>
      <c r="H35" s="115">
        <v>5900014.7999999998</v>
      </c>
      <c r="I35" s="116">
        <f t="shared" ref="I35:I61" si="7">J35/B35</f>
        <v>100777</v>
      </c>
      <c r="J35" s="115">
        <v>5867236.9400000004</v>
      </c>
      <c r="K35" s="160" t="s">
        <v>50</v>
      </c>
    </row>
    <row r="36" spans="1:11">
      <c r="A36" s="117" t="s">
        <v>51</v>
      </c>
      <c r="B36" s="118">
        <v>21.6</v>
      </c>
      <c r="C36" s="119">
        <f t="shared" si="4"/>
        <v>147290.93400000001</v>
      </c>
      <c r="D36" s="120">
        <v>3181484.1743999999</v>
      </c>
      <c r="E36" s="119">
        <f t="shared" si="5"/>
        <v>147853.93400000001</v>
      </c>
      <c r="F36" s="120">
        <v>3193644.9744000002</v>
      </c>
      <c r="G36" s="119">
        <f t="shared" si="6"/>
        <v>148416.93400000001</v>
      </c>
      <c r="H36" s="120">
        <v>3205805.7744</v>
      </c>
      <c r="I36" s="119">
        <f t="shared" si="7"/>
        <v>147853.93400000001</v>
      </c>
      <c r="J36" s="120">
        <v>3193644.9744000002</v>
      </c>
      <c r="K36" s="161" t="s">
        <v>50</v>
      </c>
    </row>
    <row r="37" spans="1:11">
      <c r="A37" s="121" t="s">
        <v>52</v>
      </c>
      <c r="B37" s="111">
        <v>37.549999999999997</v>
      </c>
      <c r="C37" s="122">
        <f t="shared" si="4"/>
        <v>115787.70600000001</v>
      </c>
      <c r="D37" s="123">
        <v>4347828.3602999998</v>
      </c>
      <c r="E37" s="122">
        <f t="shared" si="5"/>
        <v>116350.70600000001</v>
      </c>
      <c r="F37" s="123">
        <v>4368969.0103000002</v>
      </c>
      <c r="G37" s="122">
        <f t="shared" si="6"/>
        <v>116913.70600000001</v>
      </c>
      <c r="H37" s="123">
        <v>4390109.6602999996</v>
      </c>
      <c r="I37" s="122">
        <f t="shared" si="7"/>
        <v>116350.70600000001</v>
      </c>
      <c r="J37" s="123">
        <v>4368969.0103000002</v>
      </c>
      <c r="K37" s="19" t="s">
        <v>50</v>
      </c>
    </row>
    <row r="38" spans="1:11">
      <c r="A38" s="110" t="s">
        <v>53</v>
      </c>
      <c r="B38" s="111">
        <v>56.58</v>
      </c>
      <c r="C38" s="112">
        <f t="shared" si="4"/>
        <v>100720.7</v>
      </c>
      <c r="D38" s="113">
        <v>5698777.2060000002</v>
      </c>
      <c r="E38" s="112">
        <f t="shared" si="5"/>
        <v>101283.7</v>
      </c>
      <c r="F38" s="113">
        <v>5730631.7460000003</v>
      </c>
      <c r="G38" s="112">
        <f t="shared" si="6"/>
        <v>101846.7</v>
      </c>
      <c r="H38" s="113">
        <v>5762486.2860000003</v>
      </c>
      <c r="I38" s="112">
        <f t="shared" si="7"/>
        <v>101283.7</v>
      </c>
      <c r="J38" s="113">
        <v>5730631.7460000003</v>
      </c>
      <c r="K38" s="19" t="s">
        <v>50</v>
      </c>
    </row>
    <row r="39" spans="1:11">
      <c r="A39" s="124" t="s">
        <v>54</v>
      </c>
      <c r="B39" s="125">
        <v>58.22</v>
      </c>
      <c r="C39" s="126">
        <f t="shared" si="4"/>
        <v>100214</v>
      </c>
      <c r="D39" s="127">
        <v>5834459.0800000001</v>
      </c>
      <c r="E39" s="126">
        <f t="shared" si="5"/>
        <v>100777</v>
      </c>
      <c r="F39" s="127">
        <v>5867236.9400000004</v>
      </c>
      <c r="G39" s="126">
        <f t="shared" si="6"/>
        <v>101340</v>
      </c>
      <c r="H39" s="23">
        <v>5900014.7999999998</v>
      </c>
      <c r="I39" s="116">
        <f t="shared" si="7"/>
        <v>100777</v>
      </c>
      <c r="J39" s="115">
        <v>5867236.9400000004</v>
      </c>
      <c r="K39" s="160" t="s">
        <v>50</v>
      </c>
    </row>
    <row r="40" spans="1:11">
      <c r="A40" s="117" t="s">
        <v>55</v>
      </c>
      <c r="B40" s="118">
        <v>21.6</v>
      </c>
      <c r="C40" s="119">
        <f t="shared" si="4"/>
        <v>147290.93400000001</v>
      </c>
      <c r="D40" s="120">
        <v>3181484.1743999999</v>
      </c>
      <c r="E40" s="119">
        <f t="shared" si="5"/>
        <v>147853.93400000001</v>
      </c>
      <c r="F40" s="120">
        <v>3193644.9744000002</v>
      </c>
      <c r="G40" s="119">
        <f t="shared" si="6"/>
        <v>148416.93400000001</v>
      </c>
      <c r="H40" s="120">
        <v>3205805.7744</v>
      </c>
      <c r="I40" s="119">
        <f t="shared" si="7"/>
        <v>147853.93400000001</v>
      </c>
      <c r="J40" s="120">
        <v>3193644.9744000002</v>
      </c>
      <c r="K40" s="161" t="s">
        <v>56</v>
      </c>
    </row>
    <row r="41" spans="1:11">
      <c r="A41" s="121" t="s">
        <v>57</v>
      </c>
      <c r="B41" s="111">
        <v>37.549999999999997</v>
      </c>
      <c r="C41" s="122">
        <f t="shared" si="4"/>
        <v>115787.70600000001</v>
      </c>
      <c r="D41" s="123">
        <v>4347828.3602999998</v>
      </c>
      <c r="E41" s="122">
        <f t="shared" si="5"/>
        <v>116350.70600000001</v>
      </c>
      <c r="F41" s="123">
        <v>4368969.0103000002</v>
      </c>
      <c r="G41" s="122">
        <f t="shared" si="6"/>
        <v>116913.70600000001</v>
      </c>
      <c r="H41" s="123">
        <v>4390109.6602999996</v>
      </c>
      <c r="I41" s="122">
        <f t="shared" si="7"/>
        <v>116350.70600000001</v>
      </c>
      <c r="J41" s="123">
        <v>4368969.0103000002</v>
      </c>
      <c r="K41" s="19" t="s">
        <v>56</v>
      </c>
    </row>
    <row r="42" spans="1:11">
      <c r="A42" s="110" t="s">
        <v>58</v>
      </c>
      <c r="B42" s="111">
        <v>56.58</v>
      </c>
      <c r="C42" s="112">
        <f t="shared" si="4"/>
        <v>100720.7</v>
      </c>
      <c r="D42" s="113">
        <v>5698777.2060000002</v>
      </c>
      <c r="E42" s="112">
        <f t="shared" si="5"/>
        <v>101283.7</v>
      </c>
      <c r="F42" s="113">
        <v>5730631.7460000003</v>
      </c>
      <c r="G42" s="112">
        <f t="shared" si="6"/>
        <v>101846.7</v>
      </c>
      <c r="H42" s="113">
        <v>5762486.2860000003</v>
      </c>
      <c r="I42" s="112">
        <f t="shared" si="7"/>
        <v>101283.7</v>
      </c>
      <c r="J42" s="113">
        <v>5730631.7460000003</v>
      </c>
      <c r="K42" s="19" t="s">
        <v>56</v>
      </c>
    </row>
    <row r="43" spans="1:11">
      <c r="A43" s="124" t="s">
        <v>59</v>
      </c>
      <c r="B43" s="125">
        <v>58.22</v>
      </c>
      <c r="C43" s="126">
        <f t="shared" si="4"/>
        <v>100214</v>
      </c>
      <c r="D43" s="127">
        <v>5834459.0800000001</v>
      </c>
      <c r="E43" s="126">
        <f t="shared" si="5"/>
        <v>100777</v>
      </c>
      <c r="F43" s="127">
        <v>5867236.9400000004</v>
      </c>
      <c r="G43" s="126">
        <f t="shared" si="6"/>
        <v>101340</v>
      </c>
      <c r="H43" s="23">
        <v>5900014.7999999998</v>
      </c>
      <c r="I43" s="116">
        <f t="shared" si="7"/>
        <v>100777</v>
      </c>
      <c r="J43" s="115">
        <v>5867236.9400000004</v>
      </c>
      <c r="K43" s="160" t="s">
        <v>56</v>
      </c>
    </row>
    <row r="44" spans="1:11">
      <c r="A44" s="121" t="s">
        <v>60</v>
      </c>
      <c r="B44" s="128">
        <v>21.6</v>
      </c>
      <c r="C44" s="129">
        <f t="shared" si="4"/>
        <v>161505.55799999999</v>
      </c>
      <c r="D44" s="130">
        <v>3488520.0528000002</v>
      </c>
      <c r="E44" s="129">
        <f t="shared" si="5"/>
        <v>162068.55799999999</v>
      </c>
      <c r="F44" s="130">
        <v>3500680.8528</v>
      </c>
      <c r="G44" s="129">
        <f t="shared" si="6"/>
        <v>162631.55799999999</v>
      </c>
      <c r="H44" s="130">
        <v>3512841.6527999998</v>
      </c>
      <c r="I44" s="129">
        <f t="shared" si="7"/>
        <v>162068.55799999999</v>
      </c>
      <c r="J44" s="130">
        <v>3500680.8528</v>
      </c>
      <c r="K44" s="36" t="s">
        <v>61</v>
      </c>
    </row>
    <row r="45" spans="1:11">
      <c r="A45" s="110" t="s">
        <v>62</v>
      </c>
      <c r="B45" s="111">
        <v>37.549999999999997</v>
      </c>
      <c r="C45" s="129">
        <f t="shared" si="4"/>
        <v>129867.21</v>
      </c>
      <c r="D45" s="130">
        <v>4876513.7355000004</v>
      </c>
      <c r="E45" s="129">
        <f t="shared" si="5"/>
        <v>130430.21</v>
      </c>
      <c r="F45" s="130">
        <v>4897654.3854999999</v>
      </c>
      <c r="G45" s="129">
        <f t="shared" si="6"/>
        <v>130993.21</v>
      </c>
      <c r="H45" s="130">
        <v>4918795.0355000002</v>
      </c>
      <c r="I45" s="129">
        <f t="shared" si="7"/>
        <v>130430.21</v>
      </c>
      <c r="J45" s="130">
        <v>4897654.3854999999</v>
      </c>
      <c r="K45" s="36" t="s">
        <v>61</v>
      </c>
    </row>
    <row r="46" spans="1:11">
      <c r="A46" s="110" t="s">
        <v>63</v>
      </c>
      <c r="B46" s="111">
        <v>56.58</v>
      </c>
      <c r="C46" s="129">
        <f t="shared" si="4"/>
        <v>112096.678</v>
      </c>
      <c r="D46" s="130">
        <v>6342430.0412400002</v>
      </c>
      <c r="E46" s="129">
        <f t="shared" si="5"/>
        <v>112659.678</v>
      </c>
      <c r="F46" s="130">
        <v>6374284.5812400002</v>
      </c>
      <c r="G46" s="129">
        <f t="shared" si="6"/>
        <v>113222.678</v>
      </c>
      <c r="H46" s="130">
        <v>6406139.1212400002</v>
      </c>
      <c r="I46" s="129">
        <f t="shared" si="7"/>
        <v>112659.678</v>
      </c>
      <c r="J46" s="130">
        <v>6374284.5812400002</v>
      </c>
      <c r="K46" s="36" t="s">
        <v>61</v>
      </c>
    </row>
    <row r="47" spans="1:11">
      <c r="A47" s="124" t="s">
        <v>63</v>
      </c>
      <c r="B47" s="125">
        <v>58.22</v>
      </c>
      <c r="C47" s="126">
        <f t="shared" si="4"/>
        <v>111337.754</v>
      </c>
      <c r="D47" s="127">
        <v>6482084.0378799997</v>
      </c>
      <c r="E47" s="126">
        <f t="shared" si="5"/>
        <v>112463.754</v>
      </c>
      <c r="F47" s="127">
        <v>6547639.7578800004</v>
      </c>
      <c r="G47" s="126">
        <f t="shared" si="6"/>
        <v>112463.754</v>
      </c>
      <c r="H47" s="127">
        <v>6547639.7578800004</v>
      </c>
      <c r="I47" s="126">
        <f t="shared" si="7"/>
        <v>111900.754</v>
      </c>
      <c r="J47" s="23">
        <v>6514861.8978800001</v>
      </c>
      <c r="K47" s="25" t="s">
        <v>61</v>
      </c>
    </row>
    <row r="48" spans="1:11">
      <c r="A48" s="121" t="s">
        <v>64</v>
      </c>
      <c r="B48" s="128">
        <v>21.6</v>
      </c>
      <c r="C48" s="129">
        <f t="shared" si="4"/>
        <v>148771.62400000001</v>
      </c>
      <c r="D48" s="130">
        <v>3213467.0784</v>
      </c>
      <c r="E48" s="129">
        <f t="shared" si="5"/>
        <v>149334.62400000001</v>
      </c>
      <c r="F48" s="130">
        <v>3225627.8783999998</v>
      </c>
      <c r="G48" s="129">
        <f t="shared" si="6"/>
        <v>149897.62400000001</v>
      </c>
      <c r="H48" s="130">
        <v>3237788.6784000001</v>
      </c>
      <c r="I48" s="129">
        <f t="shared" si="7"/>
        <v>149334.62400000001</v>
      </c>
      <c r="J48" s="130">
        <v>3225627.8783999998</v>
      </c>
      <c r="K48" s="36" t="s">
        <v>65</v>
      </c>
    </row>
    <row r="49" spans="1:11">
      <c r="A49" s="110" t="s">
        <v>66</v>
      </c>
      <c r="B49" s="111">
        <v>37.549999999999997</v>
      </c>
      <c r="C49" s="129">
        <f t="shared" si="4"/>
        <v>121785.908</v>
      </c>
      <c r="D49" s="130">
        <v>4573060.8454</v>
      </c>
      <c r="E49" s="129">
        <f t="shared" si="5"/>
        <v>122348.908</v>
      </c>
      <c r="F49" s="130">
        <v>4594201.4954000004</v>
      </c>
      <c r="G49" s="129">
        <f t="shared" si="6"/>
        <v>122911.908</v>
      </c>
      <c r="H49" s="130">
        <v>4615342.1453999998</v>
      </c>
      <c r="I49" s="129">
        <f t="shared" si="7"/>
        <v>122348.908</v>
      </c>
      <c r="J49" s="130">
        <v>4594201.4954000004</v>
      </c>
      <c r="K49" s="36" t="s">
        <v>65</v>
      </c>
    </row>
    <row r="50" spans="1:11">
      <c r="A50" s="110" t="s">
        <v>67</v>
      </c>
      <c r="B50" s="111">
        <v>56.58</v>
      </c>
      <c r="C50" s="129">
        <f t="shared" si="4"/>
        <v>106709.894</v>
      </c>
      <c r="D50" s="130">
        <v>6037645.8025200004</v>
      </c>
      <c r="E50" s="129">
        <f t="shared" si="5"/>
        <v>107272.894</v>
      </c>
      <c r="F50" s="130">
        <v>6069500.3425200004</v>
      </c>
      <c r="G50" s="129">
        <f t="shared" si="6"/>
        <v>107835.894</v>
      </c>
      <c r="H50" s="130">
        <v>6101354.8825200005</v>
      </c>
      <c r="I50" s="129">
        <f t="shared" si="7"/>
        <v>107272.894</v>
      </c>
      <c r="J50" s="130">
        <v>6069500.3425200004</v>
      </c>
      <c r="K50" s="36" t="s">
        <v>65</v>
      </c>
    </row>
    <row r="51" spans="1:11">
      <c r="A51" s="124" t="s">
        <v>67</v>
      </c>
      <c r="B51" s="125">
        <v>58.22</v>
      </c>
      <c r="C51" s="126">
        <f t="shared" si="4"/>
        <v>106062.444</v>
      </c>
      <c r="D51" s="127">
        <v>6174955.4896799996</v>
      </c>
      <c r="E51" s="126">
        <f t="shared" si="5"/>
        <v>106625.444</v>
      </c>
      <c r="F51" s="127">
        <v>6207733.34968</v>
      </c>
      <c r="G51" s="126">
        <f t="shared" si="6"/>
        <v>107188.444</v>
      </c>
      <c r="H51" s="127">
        <v>6240511.2096800003</v>
      </c>
      <c r="I51" s="126">
        <f t="shared" si="7"/>
        <v>106625.444</v>
      </c>
      <c r="J51" s="23">
        <v>6207733.34968</v>
      </c>
      <c r="K51" s="25" t="s">
        <v>65</v>
      </c>
    </row>
    <row r="52" spans="1:11">
      <c r="A52" s="121" t="s">
        <v>68</v>
      </c>
      <c r="B52" s="128">
        <v>21.6</v>
      </c>
      <c r="C52" s="129">
        <f t="shared" si="4"/>
        <v>148771.62400000001</v>
      </c>
      <c r="D52" s="130">
        <v>3213467.0784</v>
      </c>
      <c r="E52" s="129">
        <f t="shared" si="5"/>
        <v>149334.62400000001</v>
      </c>
      <c r="F52" s="130">
        <v>3225627.8783999998</v>
      </c>
      <c r="G52" s="129">
        <f t="shared" si="6"/>
        <v>149897.62400000001</v>
      </c>
      <c r="H52" s="130">
        <v>3237788.6784000001</v>
      </c>
      <c r="I52" s="129">
        <f t="shared" si="7"/>
        <v>149334.62400000001</v>
      </c>
      <c r="J52" s="130">
        <v>3225627.8783999998</v>
      </c>
      <c r="K52" s="36" t="s">
        <v>69</v>
      </c>
    </row>
    <row r="53" spans="1:11">
      <c r="A53" s="110" t="s">
        <v>70</v>
      </c>
      <c r="B53" s="111">
        <v>37.549999999999997</v>
      </c>
      <c r="C53" s="129">
        <f t="shared" si="4"/>
        <v>127784.11</v>
      </c>
      <c r="D53" s="130">
        <v>4798293.3305000002</v>
      </c>
      <c r="E53" s="129">
        <f t="shared" si="5"/>
        <v>128345.984</v>
      </c>
      <c r="F53" s="130">
        <v>4819391.6991999997</v>
      </c>
      <c r="G53" s="129">
        <f t="shared" si="6"/>
        <v>128908.984</v>
      </c>
      <c r="H53" s="130">
        <v>4840532.3492000001</v>
      </c>
      <c r="I53" s="129">
        <f t="shared" si="7"/>
        <v>128345.984</v>
      </c>
      <c r="J53" s="130">
        <v>4819391.6991999997</v>
      </c>
      <c r="K53" s="36" t="s">
        <v>71</v>
      </c>
    </row>
    <row r="54" spans="1:11">
      <c r="A54" s="110" t="s">
        <v>72</v>
      </c>
      <c r="B54" s="111">
        <v>56.58</v>
      </c>
      <c r="C54" s="129">
        <f t="shared" si="4"/>
        <v>109675.77800000001</v>
      </c>
      <c r="D54" s="130">
        <v>6205455.5192400003</v>
      </c>
      <c r="E54" s="129">
        <f t="shared" si="5"/>
        <v>110238.77800000001</v>
      </c>
      <c r="F54" s="130">
        <v>6237310.0592400003</v>
      </c>
      <c r="G54" s="129">
        <f t="shared" si="6"/>
        <v>110801.77800000001</v>
      </c>
      <c r="H54" s="130">
        <v>6269164.5992400004</v>
      </c>
      <c r="I54" s="129">
        <f t="shared" si="7"/>
        <v>110238.77800000001</v>
      </c>
      <c r="J54" s="130">
        <v>6237310.0592400003</v>
      </c>
      <c r="K54" s="36" t="s">
        <v>71</v>
      </c>
    </row>
    <row r="55" spans="1:11">
      <c r="A55" s="124" t="s">
        <v>72</v>
      </c>
      <c r="B55" s="125">
        <v>58.22</v>
      </c>
      <c r="C55" s="126">
        <f t="shared" si="4"/>
        <v>108916.85400000001</v>
      </c>
      <c r="D55" s="127">
        <v>6341139.2398800002</v>
      </c>
      <c r="E55" s="126">
        <f t="shared" si="5"/>
        <v>109479.85400000001</v>
      </c>
      <c r="F55" s="127">
        <v>6373917.0998799996</v>
      </c>
      <c r="G55" s="126">
        <f t="shared" si="6"/>
        <v>110042.85400000001</v>
      </c>
      <c r="H55" s="127">
        <v>6406694.95988</v>
      </c>
      <c r="I55" s="126">
        <f t="shared" si="7"/>
        <v>109479.85400000001</v>
      </c>
      <c r="J55" s="23">
        <v>6373917.0998799996</v>
      </c>
      <c r="K55" s="25" t="s">
        <v>71</v>
      </c>
    </row>
    <row r="56" spans="1:11">
      <c r="A56" s="121" t="s">
        <v>73</v>
      </c>
      <c r="B56" s="131">
        <v>21.6</v>
      </c>
      <c r="C56" s="132">
        <f t="shared" si="4"/>
        <v>159197.258</v>
      </c>
      <c r="D56" s="133">
        <v>3438660.7727999999</v>
      </c>
      <c r="E56" s="132">
        <f t="shared" si="5"/>
        <v>159760.258</v>
      </c>
      <c r="F56" s="133">
        <v>3450821.5728000002</v>
      </c>
      <c r="G56" s="119">
        <f t="shared" si="6"/>
        <v>160323.258</v>
      </c>
      <c r="H56" s="130">
        <v>3462982.3728</v>
      </c>
      <c r="I56" s="132">
        <f t="shared" si="7"/>
        <v>159760.258</v>
      </c>
      <c r="J56" s="141">
        <v>3450821.5728000002</v>
      </c>
      <c r="K56" s="163" t="s">
        <v>71</v>
      </c>
    </row>
    <row r="57" spans="1:11">
      <c r="A57" s="110" t="s">
        <v>74</v>
      </c>
      <c r="B57" s="134">
        <v>37.549999999999997</v>
      </c>
      <c r="C57" s="135">
        <f t="shared" si="4"/>
        <v>127784.11</v>
      </c>
      <c r="D57" s="133">
        <v>4798293.3305000002</v>
      </c>
      <c r="E57" s="135">
        <f t="shared" si="5"/>
        <v>128347.11</v>
      </c>
      <c r="F57" s="133">
        <v>4819433.9804999996</v>
      </c>
      <c r="G57" s="129">
        <f t="shared" si="6"/>
        <v>128908.984</v>
      </c>
      <c r="H57" s="130">
        <v>4840532.3492000001</v>
      </c>
      <c r="I57" s="135">
        <f t="shared" si="7"/>
        <v>128345.984</v>
      </c>
      <c r="J57" s="35">
        <v>4819391.6991999997</v>
      </c>
      <c r="K57" s="163" t="s">
        <v>71</v>
      </c>
    </row>
    <row r="58" spans="1:11">
      <c r="A58" s="110" t="s">
        <v>75</v>
      </c>
      <c r="B58" s="134">
        <v>56.58</v>
      </c>
      <c r="C58" s="135">
        <f t="shared" si="4"/>
        <v>109675.77800000001</v>
      </c>
      <c r="D58" s="133">
        <v>6205455.5192400003</v>
      </c>
      <c r="E58" s="135">
        <f t="shared" si="5"/>
        <v>110238.77800000001</v>
      </c>
      <c r="F58" s="133">
        <v>6237310.0592400003</v>
      </c>
      <c r="G58" s="129">
        <f t="shared" si="6"/>
        <v>110801.77800000001</v>
      </c>
      <c r="H58" s="130">
        <v>6269164.5992400004</v>
      </c>
      <c r="I58" s="135">
        <f t="shared" si="7"/>
        <v>110238.77800000001</v>
      </c>
      <c r="J58" s="35">
        <v>6237310.0592400003</v>
      </c>
      <c r="K58" s="163" t="s">
        <v>71</v>
      </c>
    </row>
    <row r="59" spans="1:11">
      <c r="A59" s="124" t="s">
        <v>75</v>
      </c>
      <c r="B59" s="136">
        <v>58.22</v>
      </c>
      <c r="C59" s="137">
        <f t="shared" si="4"/>
        <v>108916.85400000001</v>
      </c>
      <c r="D59" s="138">
        <v>6341139.2398800002</v>
      </c>
      <c r="E59" s="137">
        <f t="shared" si="5"/>
        <v>109479.85400000001</v>
      </c>
      <c r="F59" s="138">
        <v>6373917.0998799996</v>
      </c>
      <c r="G59" s="126">
        <f t="shared" si="6"/>
        <v>110042.85400000001</v>
      </c>
      <c r="H59" s="127">
        <v>6406694.95988</v>
      </c>
      <c r="I59" s="137">
        <f t="shared" si="7"/>
        <v>109479.85400000001</v>
      </c>
      <c r="J59" s="23">
        <v>6373917.0998799996</v>
      </c>
      <c r="K59" s="164" t="s">
        <v>71</v>
      </c>
    </row>
    <row r="60" spans="1:11">
      <c r="A60" s="110" t="s">
        <v>76</v>
      </c>
      <c r="B60" s="139">
        <v>35.67</v>
      </c>
      <c r="C60" s="132">
        <f t="shared" si="4"/>
        <v>118366.246</v>
      </c>
      <c r="D60" s="140">
        <v>4222123.9948199997</v>
      </c>
      <c r="E60" s="132">
        <f t="shared" si="5"/>
        <v>118929.246</v>
      </c>
      <c r="F60" s="140">
        <v>4242206.2048199996</v>
      </c>
      <c r="G60" s="119">
        <f t="shared" si="6"/>
        <v>119492.246</v>
      </c>
      <c r="H60" s="141">
        <v>4262288.4148199996</v>
      </c>
      <c r="I60" s="132">
        <f t="shared" si="7"/>
        <v>118929.246</v>
      </c>
      <c r="J60" s="141">
        <v>4242206.2048199996</v>
      </c>
      <c r="K60" s="165" t="s">
        <v>56</v>
      </c>
    </row>
    <row r="61" spans="1:11">
      <c r="A61" s="124" t="s">
        <v>76</v>
      </c>
      <c r="B61" s="142">
        <v>37.090000000000003</v>
      </c>
      <c r="C61" s="143">
        <f t="shared" si="4"/>
        <v>117421.53200000001</v>
      </c>
      <c r="D61" s="144">
        <v>4355164.6218800005</v>
      </c>
      <c r="E61" s="143">
        <f t="shared" si="5"/>
        <v>117984.53200000001</v>
      </c>
      <c r="F61" s="144">
        <v>4376046.2918800004</v>
      </c>
      <c r="G61" s="116">
        <f t="shared" si="6"/>
        <v>118547.53200000001</v>
      </c>
      <c r="H61" s="145">
        <v>4396927.9618800003</v>
      </c>
      <c r="I61" s="143">
        <f t="shared" si="7"/>
        <v>117984.53200000001</v>
      </c>
      <c r="J61" s="145">
        <v>4376046.2918800004</v>
      </c>
      <c r="K61" s="166" t="s">
        <v>56</v>
      </c>
    </row>
    <row r="63" spans="1:11" ht="18.75">
      <c r="A63" s="239" t="s">
        <v>119</v>
      </c>
      <c r="B63" s="1"/>
      <c r="C63" s="1"/>
      <c r="D63" s="1"/>
      <c r="E63" s="4"/>
      <c r="F63" s="1"/>
      <c r="G63" s="4"/>
      <c r="H63" s="4"/>
      <c r="I63" s="4"/>
      <c r="J63" s="4"/>
      <c r="K63" s="4"/>
    </row>
    <row r="64" spans="1:11" ht="30">
      <c r="A64" s="107" t="s">
        <v>41</v>
      </c>
      <c r="B64" s="108" t="s">
        <v>42</v>
      </c>
      <c r="C64" s="109" t="s">
        <v>43</v>
      </c>
      <c r="D64" s="108" t="s">
        <v>44</v>
      </c>
      <c r="E64" s="109" t="s">
        <v>45</v>
      </c>
      <c r="F64" s="108" t="s">
        <v>44</v>
      </c>
      <c r="G64" s="109" t="s">
        <v>46</v>
      </c>
      <c r="H64" s="108" t="s">
        <v>44</v>
      </c>
      <c r="I64" s="109" t="s">
        <v>47</v>
      </c>
      <c r="J64" s="108" t="s">
        <v>44</v>
      </c>
      <c r="K64" s="157" t="s">
        <v>48</v>
      </c>
    </row>
    <row r="65" spans="1:11">
      <c r="A65" s="110" t="s">
        <v>49</v>
      </c>
      <c r="B65" s="111">
        <v>56.58</v>
      </c>
      <c r="C65" s="112">
        <f>D65/B65</f>
        <v>97053.25</v>
      </c>
      <c r="D65" s="113">
        <v>5491272.8849999998</v>
      </c>
      <c r="E65" s="112">
        <f>F65/B65</f>
        <v>97595.75</v>
      </c>
      <c r="F65" s="113">
        <v>5521967.5350000001</v>
      </c>
      <c r="G65" s="112">
        <f>H65/B65</f>
        <v>98138.25</v>
      </c>
      <c r="H65" s="113">
        <v>5552662.1849999996</v>
      </c>
      <c r="I65" s="112">
        <f>J65/B65</f>
        <v>97595.75</v>
      </c>
      <c r="J65" s="113">
        <v>5521967.5350000001</v>
      </c>
      <c r="K65" s="19" t="s">
        <v>50</v>
      </c>
    </row>
    <row r="66" spans="1:11">
      <c r="A66" s="110" t="s">
        <v>49</v>
      </c>
      <c r="B66" s="114">
        <v>58.22</v>
      </c>
      <c r="C66" s="112">
        <f t="shared" ref="C66:C92" si="8">D66/B66</f>
        <v>96565</v>
      </c>
      <c r="D66" s="115">
        <v>5622014.2999999998</v>
      </c>
      <c r="E66" s="116">
        <f t="shared" ref="E66:E92" si="9">F66/B66</f>
        <v>97107.5</v>
      </c>
      <c r="F66" s="115">
        <v>5653598.6500000004</v>
      </c>
      <c r="G66" s="116">
        <f t="shared" ref="G66:G92" si="10">H66/B66</f>
        <v>97650</v>
      </c>
      <c r="H66" s="115">
        <v>5685183</v>
      </c>
      <c r="I66" s="116">
        <f t="shared" ref="I66:I92" si="11">J66/B66</f>
        <v>97107.5</v>
      </c>
      <c r="J66" s="115">
        <v>5653598.6500000004</v>
      </c>
      <c r="K66" s="160" t="s">
        <v>50</v>
      </c>
    </row>
    <row r="67" spans="1:11">
      <c r="A67" s="117" t="s">
        <v>51</v>
      </c>
      <c r="B67" s="118">
        <v>21.6</v>
      </c>
      <c r="C67" s="119">
        <f t="shared" si="8"/>
        <v>141927.76500000001</v>
      </c>
      <c r="D67" s="120">
        <v>3065639.7239999999</v>
      </c>
      <c r="E67" s="119">
        <f t="shared" si="9"/>
        <v>142470.26500000001</v>
      </c>
      <c r="F67" s="120">
        <v>3077357.7239999999</v>
      </c>
      <c r="G67" s="119">
        <f t="shared" si="10"/>
        <v>143012.76500000001</v>
      </c>
      <c r="H67" s="120">
        <v>3089075.7239999999</v>
      </c>
      <c r="I67" s="119">
        <f t="shared" si="11"/>
        <v>142470.26500000001</v>
      </c>
      <c r="J67" s="120">
        <v>3077357.7239999999</v>
      </c>
      <c r="K67" s="161" t="s">
        <v>50</v>
      </c>
    </row>
    <row r="68" spans="1:11">
      <c r="A68" s="121" t="s">
        <v>52</v>
      </c>
      <c r="B68" s="111">
        <v>37.549999999999997</v>
      </c>
      <c r="C68" s="122">
        <f t="shared" si="8"/>
        <v>111571.63499999999</v>
      </c>
      <c r="D68" s="123">
        <v>4189514.8942499999</v>
      </c>
      <c r="E68" s="122">
        <f t="shared" si="9"/>
        <v>112114.13499999999</v>
      </c>
      <c r="F68" s="123">
        <v>4209885.7692499999</v>
      </c>
      <c r="G68" s="122">
        <f t="shared" si="10"/>
        <v>112656.63499999999</v>
      </c>
      <c r="H68" s="123">
        <v>4230256.6442499999</v>
      </c>
      <c r="I68" s="122">
        <f t="shared" si="11"/>
        <v>112114.13499999999</v>
      </c>
      <c r="J68" s="123">
        <v>4209885.7692499999</v>
      </c>
      <c r="K68" s="19" t="s">
        <v>50</v>
      </c>
    </row>
    <row r="69" spans="1:11">
      <c r="A69" s="110" t="s">
        <v>53</v>
      </c>
      <c r="B69" s="111">
        <v>56.58</v>
      </c>
      <c r="C69" s="112">
        <f t="shared" si="8"/>
        <v>97053.25</v>
      </c>
      <c r="D69" s="113">
        <v>5491272.8849999998</v>
      </c>
      <c r="E69" s="112">
        <f t="shared" si="9"/>
        <v>97595.75</v>
      </c>
      <c r="F69" s="113">
        <v>5521967.5350000001</v>
      </c>
      <c r="G69" s="112">
        <f t="shared" si="10"/>
        <v>98138.25</v>
      </c>
      <c r="H69" s="113">
        <v>5552662.1849999996</v>
      </c>
      <c r="I69" s="112">
        <f t="shared" si="11"/>
        <v>97595.75</v>
      </c>
      <c r="J69" s="113">
        <v>5521967.5350000001</v>
      </c>
      <c r="K69" s="19" t="s">
        <v>50</v>
      </c>
    </row>
    <row r="70" spans="1:11">
      <c r="A70" s="124" t="s">
        <v>54</v>
      </c>
      <c r="B70" s="125">
        <v>58.22</v>
      </c>
      <c r="C70" s="126">
        <f t="shared" si="8"/>
        <v>96565</v>
      </c>
      <c r="D70" s="127">
        <v>5622014.2999999998</v>
      </c>
      <c r="E70" s="126">
        <f t="shared" si="9"/>
        <v>97107.5</v>
      </c>
      <c r="F70" s="127">
        <v>5653598.6500000004</v>
      </c>
      <c r="G70" s="126">
        <f t="shared" si="10"/>
        <v>97650</v>
      </c>
      <c r="H70" s="23">
        <v>5685183</v>
      </c>
      <c r="I70" s="116">
        <f t="shared" si="11"/>
        <v>97107.5</v>
      </c>
      <c r="J70" s="115">
        <v>5653598.6500000004</v>
      </c>
      <c r="K70" s="160" t="s">
        <v>50</v>
      </c>
    </row>
    <row r="71" spans="1:11">
      <c r="A71" s="117" t="s">
        <v>55</v>
      </c>
      <c r="B71" s="118">
        <v>21.6</v>
      </c>
      <c r="C71" s="119">
        <f t="shared" si="8"/>
        <v>141927.76500000001</v>
      </c>
      <c r="D71" s="120">
        <v>3065639.7239999999</v>
      </c>
      <c r="E71" s="119">
        <f t="shared" si="9"/>
        <v>142470.26500000001</v>
      </c>
      <c r="F71" s="120">
        <v>3077357.7239999999</v>
      </c>
      <c r="G71" s="119">
        <f t="shared" si="10"/>
        <v>143012.76500000001</v>
      </c>
      <c r="H71" s="120">
        <v>3089075.7239999999</v>
      </c>
      <c r="I71" s="119">
        <f t="shared" si="11"/>
        <v>142470.26500000001</v>
      </c>
      <c r="J71" s="120">
        <v>3077357.7239999999</v>
      </c>
      <c r="K71" s="161" t="s">
        <v>56</v>
      </c>
    </row>
    <row r="72" spans="1:11">
      <c r="A72" s="121" t="s">
        <v>57</v>
      </c>
      <c r="B72" s="111">
        <v>37.549999999999997</v>
      </c>
      <c r="C72" s="122">
        <f t="shared" si="8"/>
        <v>111571.63499999999</v>
      </c>
      <c r="D72" s="123">
        <v>4189514.8942499999</v>
      </c>
      <c r="E72" s="122">
        <f t="shared" si="9"/>
        <v>112114.13499999999</v>
      </c>
      <c r="F72" s="123">
        <v>4209885.7692499999</v>
      </c>
      <c r="G72" s="122">
        <f t="shared" si="10"/>
        <v>112656.63499999999</v>
      </c>
      <c r="H72" s="123">
        <v>4230256.6442499999</v>
      </c>
      <c r="I72" s="122">
        <f t="shared" si="11"/>
        <v>112114.13499999999</v>
      </c>
      <c r="J72" s="123">
        <v>4209885.7692499999</v>
      </c>
      <c r="K72" s="19" t="s">
        <v>56</v>
      </c>
    </row>
    <row r="73" spans="1:11">
      <c r="A73" s="110" t="s">
        <v>58</v>
      </c>
      <c r="B73" s="111">
        <v>56.58</v>
      </c>
      <c r="C73" s="112">
        <f t="shared" si="8"/>
        <v>97053.25</v>
      </c>
      <c r="D73" s="113">
        <v>5491272.8849999998</v>
      </c>
      <c r="E73" s="112">
        <f t="shared" si="9"/>
        <v>97595.75</v>
      </c>
      <c r="F73" s="113">
        <v>5521967.5350000001</v>
      </c>
      <c r="G73" s="112">
        <f t="shared" si="10"/>
        <v>98138.25</v>
      </c>
      <c r="H73" s="113">
        <v>5552662.1849999996</v>
      </c>
      <c r="I73" s="112">
        <f t="shared" si="11"/>
        <v>97595.75</v>
      </c>
      <c r="J73" s="113">
        <v>5521967.5350000001</v>
      </c>
      <c r="K73" s="19" t="s">
        <v>56</v>
      </c>
    </row>
    <row r="74" spans="1:11">
      <c r="A74" s="124" t="s">
        <v>59</v>
      </c>
      <c r="B74" s="125">
        <v>58.22</v>
      </c>
      <c r="C74" s="126">
        <f t="shared" si="8"/>
        <v>96565</v>
      </c>
      <c r="D74" s="127">
        <v>5622014.2999999998</v>
      </c>
      <c r="E74" s="126">
        <f t="shared" si="9"/>
        <v>97107.5</v>
      </c>
      <c r="F74" s="127">
        <v>5653598.6500000004</v>
      </c>
      <c r="G74" s="126">
        <f t="shared" si="10"/>
        <v>97650</v>
      </c>
      <c r="H74" s="23">
        <v>5685183</v>
      </c>
      <c r="I74" s="116">
        <f t="shared" si="11"/>
        <v>97107.5</v>
      </c>
      <c r="J74" s="115">
        <v>5653598.6500000004</v>
      </c>
      <c r="K74" s="160" t="s">
        <v>56</v>
      </c>
    </row>
    <row r="75" spans="1:11">
      <c r="A75" s="121" t="s">
        <v>60</v>
      </c>
      <c r="B75" s="128">
        <v>21.6</v>
      </c>
      <c r="C75" s="129">
        <f t="shared" si="8"/>
        <v>155624.80499999999</v>
      </c>
      <c r="D75" s="130">
        <v>3361495.7880000002</v>
      </c>
      <c r="E75" s="129">
        <f t="shared" si="9"/>
        <v>156167.30499999999</v>
      </c>
      <c r="F75" s="130">
        <v>3373213.7880000002</v>
      </c>
      <c r="G75" s="129">
        <f t="shared" si="10"/>
        <v>156709.80499999999</v>
      </c>
      <c r="H75" s="130">
        <v>3384931.7880000002</v>
      </c>
      <c r="I75" s="129">
        <f t="shared" si="11"/>
        <v>156167.30499999999</v>
      </c>
      <c r="J75" s="130">
        <v>3373213.7880000002</v>
      </c>
      <c r="K75" s="36" t="s">
        <v>61</v>
      </c>
    </row>
    <row r="76" spans="1:11">
      <c r="A76" s="110" t="s">
        <v>62</v>
      </c>
      <c r="B76" s="111">
        <v>37.549999999999997</v>
      </c>
      <c r="C76" s="129">
        <f t="shared" si="8"/>
        <v>125138.47500000001</v>
      </c>
      <c r="D76" s="130">
        <v>4698949.7362500001</v>
      </c>
      <c r="E76" s="129">
        <f t="shared" si="9"/>
        <v>125680.97500000001</v>
      </c>
      <c r="F76" s="130">
        <v>4719320.6112500001</v>
      </c>
      <c r="G76" s="129">
        <f t="shared" si="10"/>
        <v>126223.47500000001</v>
      </c>
      <c r="H76" s="130">
        <v>4739691.4862500001</v>
      </c>
      <c r="I76" s="129">
        <f t="shared" si="11"/>
        <v>125680.97500000001</v>
      </c>
      <c r="J76" s="130">
        <v>4719320.6112500001</v>
      </c>
      <c r="K76" s="36" t="s">
        <v>61</v>
      </c>
    </row>
    <row r="77" spans="1:11">
      <c r="A77" s="110" t="s">
        <v>63</v>
      </c>
      <c r="B77" s="111">
        <v>56.58</v>
      </c>
      <c r="C77" s="129">
        <f t="shared" si="8"/>
        <v>108015.005</v>
      </c>
      <c r="D77" s="130">
        <v>6111488.9829000002</v>
      </c>
      <c r="E77" s="129">
        <f t="shared" si="9"/>
        <v>108557.505</v>
      </c>
      <c r="F77" s="130">
        <v>6142183.6328999996</v>
      </c>
      <c r="G77" s="129">
        <f t="shared" si="10"/>
        <v>109100.005</v>
      </c>
      <c r="H77" s="130">
        <v>6172878.2829</v>
      </c>
      <c r="I77" s="129">
        <f t="shared" si="11"/>
        <v>108557.505</v>
      </c>
      <c r="J77" s="130">
        <v>6142183.6328999996</v>
      </c>
      <c r="K77" s="36" t="s">
        <v>61</v>
      </c>
    </row>
    <row r="78" spans="1:11">
      <c r="A78" s="124" t="s">
        <v>63</v>
      </c>
      <c r="B78" s="125">
        <v>58.22</v>
      </c>
      <c r="C78" s="126">
        <f t="shared" si="8"/>
        <v>107283.715</v>
      </c>
      <c r="D78" s="127">
        <v>6246057.8872999996</v>
      </c>
      <c r="E78" s="126">
        <f t="shared" si="9"/>
        <v>108368.715</v>
      </c>
      <c r="F78" s="127">
        <v>6309226.5872999998</v>
      </c>
      <c r="G78" s="126">
        <f t="shared" si="10"/>
        <v>108368.715</v>
      </c>
      <c r="H78" s="127">
        <v>6309226.5872999998</v>
      </c>
      <c r="I78" s="126">
        <f t="shared" si="11"/>
        <v>107826.215</v>
      </c>
      <c r="J78" s="23">
        <v>6277642.2373000002</v>
      </c>
      <c r="K78" s="25" t="s">
        <v>61</v>
      </c>
    </row>
    <row r="79" spans="1:11">
      <c r="A79" s="121" t="s">
        <v>64</v>
      </c>
      <c r="B79" s="128">
        <v>21.6</v>
      </c>
      <c r="C79" s="129">
        <f t="shared" si="8"/>
        <v>143354.54</v>
      </c>
      <c r="D79" s="130">
        <v>3096458.0639999998</v>
      </c>
      <c r="E79" s="129">
        <f t="shared" si="9"/>
        <v>143897.04</v>
      </c>
      <c r="F79" s="130">
        <v>3108176.0639999998</v>
      </c>
      <c r="G79" s="129">
        <f t="shared" si="10"/>
        <v>144439.54</v>
      </c>
      <c r="H79" s="130">
        <v>3119894.0639999998</v>
      </c>
      <c r="I79" s="129">
        <f t="shared" si="11"/>
        <v>143897.04</v>
      </c>
      <c r="J79" s="130">
        <v>3108176.0639999998</v>
      </c>
      <c r="K79" s="36" t="s">
        <v>65</v>
      </c>
    </row>
    <row r="80" spans="1:11">
      <c r="A80" s="110" t="s">
        <v>66</v>
      </c>
      <c r="B80" s="111">
        <v>37.549999999999997</v>
      </c>
      <c r="C80" s="129">
        <f t="shared" si="8"/>
        <v>117351.43</v>
      </c>
      <c r="D80" s="130">
        <v>4406546.1964999996</v>
      </c>
      <c r="E80" s="129">
        <f t="shared" si="9"/>
        <v>117893.93</v>
      </c>
      <c r="F80" s="130">
        <v>4426917.0714999996</v>
      </c>
      <c r="G80" s="129">
        <f t="shared" si="10"/>
        <v>118436.43</v>
      </c>
      <c r="H80" s="130">
        <v>4447287.9464999996</v>
      </c>
      <c r="I80" s="129">
        <f t="shared" si="11"/>
        <v>117893.93</v>
      </c>
      <c r="J80" s="130">
        <v>4426917.0714999996</v>
      </c>
      <c r="K80" s="36" t="s">
        <v>65</v>
      </c>
    </row>
    <row r="81" spans="1:11">
      <c r="A81" s="110" t="s">
        <v>67</v>
      </c>
      <c r="B81" s="111">
        <v>56.58</v>
      </c>
      <c r="C81" s="129">
        <f t="shared" si="8"/>
        <v>102824.36500000001</v>
      </c>
      <c r="D81" s="130">
        <v>5817802.5717000002</v>
      </c>
      <c r="E81" s="129">
        <f t="shared" si="9"/>
        <v>103366.86500000001</v>
      </c>
      <c r="F81" s="130">
        <v>5848497.2216999996</v>
      </c>
      <c r="G81" s="129">
        <f t="shared" si="10"/>
        <v>103909.36500000001</v>
      </c>
      <c r="H81" s="130">
        <v>5879191.8717</v>
      </c>
      <c r="I81" s="129">
        <f t="shared" si="11"/>
        <v>103366.86500000001</v>
      </c>
      <c r="J81" s="130">
        <v>5848497.2216999996</v>
      </c>
      <c r="K81" s="36" t="s">
        <v>65</v>
      </c>
    </row>
    <row r="82" spans="1:11">
      <c r="A82" s="124" t="s">
        <v>67</v>
      </c>
      <c r="B82" s="125">
        <v>58.22</v>
      </c>
      <c r="C82" s="126">
        <f t="shared" si="8"/>
        <v>102200.49</v>
      </c>
      <c r="D82" s="127">
        <v>5950112.5278000003</v>
      </c>
      <c r="E82" s="126">
        <f t="shared" si="9"/>
        <v>102742.99</v>
      </c>
      <c r="F82" s="127">
        <v>5981696.8777999999</v>
      </c>
      <c r="G82" s="126">
        <f t="shared" si="10"/>
        <v>103285.49</v>
      </c>
      <c r="H82" s="127">
        <v>6013281.2278000005</v>
      </c>
      <c r="I82" s="126">
        <f t="shared" si="11"/>
        <v>102742.99</v>
      </c>
      <c r="J82" s="23">
        <v>5981696.8777999999</v>
      </c>
      <c r="K82" s="25" t="s">
        <v>65</v>
      </c>
    </row>
    <row r="83" spans="1:11">
      <c r="A83" s="121" t="s">
        <v>68</v>
      </c>
      <c r="B83" s="128">
        <v>21.6</v>
      </c>
      <c r="C83" s="129">
        <f t="shared" si="8"/>
        <v>143354.54</v>
      </c>
      <c r="D83" s="130">
        <v>3096458.0639999998</v>
      </c>
      <c r="E83" s="129">
        <f t="shared" si="9"/>
        <v>143897.04</v>
      </c>
      <c r="F83" s="130">
        <v>3108176.0639999998</v>
      </c>
      <c r="G83" s="129">
        <f t="shared" si="10"/>
        <v>144439.54</v>
      </c>
      <c r="H83" s="130">
        <v>3119894.0639999998</v>
      </c>
      <c r="I83" s="129">
        <f t="shared" si="11"/>
        <v>143897.04</v>
      </c>
      <c r="J83" s="130">
        <v>3108176.0639999998</v>
      </c>
      <c r="K83" s="36" t="s">
        <v>69</v>
      </c>
    </row>
    <row r="84" spans="1:11">
      <c r="A84" s="110" t="s">
        <v>70</v>
      </c>
      <c r="B84" s="111">
        <v>37.549999999999997</v>
      </c>
      <c r="C84" s="129">
        <f t="shared" si="8"/>
        <v>123131.22500000001</v>
      </c>
      <c r="D84" s="130">
        <v>4623577.4987500003</v>
      </c>
      <c r="E84" s="129">
        <f t="shared" si="9"/>
        <v>123672.64</v>
      </c>
      <c r="F84" s="130">
        <v>4643907.6320000002</v>
      </c>
      <c r="G84" s="129">
        <f t="shared" si="10"/>
        <v>124215.14</v>
      </c>
      <c r="H84" s="130">
        <v>4664278.5070000002</v>
      </c>
      <c r="I84" s="129">
        <f t="shared" si="11"/>
        <v>123672.64</v>
      </c>
      <c r="J84" s="130">
        <v>4643907.6320000002</v>
      </c>
      <c r="K84" s="36" t="s">
        <v>71</v>
      </c>
    </row>
    <row r="85" spans="1:11">
      <c r="A85" s="110" t="s">
        <v>72</v>
      </c>
      <c r="B85" s="111">
        <v>56.58</v>
      </c>
      <c r="C85" s="129">
        <f t="shared" si="8"/>
        <v>105682.255</v>
      </c>
      <c r="D85" s="130">
        <v>5979501.9879000001</v>
      </c>
      <c r="E85" s="129">
        <f t="shared" si="9"/>
        <v>106224.755</v>
      </c>
      <c r="F85" s="130">
        <v>6010196.6379000004</v>
      </c>
      <c r="G85" s="129">
        <f t="shared" si="10"/>
        <v>106767.255</v>
      </c>
      <c r="H85" s="130">
        <v>6040891.2878999999</v>
      </c>
      <c r="I85" s="129">
        <f t="shared" si="11"/>
        <v>106224.755</v>
      </c>
      <c r="J85" s="130">
        <v>6010196.6379000004</v>
      </c>
      <c r="K85" s="36" t="s">
        <v>71</v>
      </c>
    </row>
    <row r="86" spans="1:11">
      <c r="A86" s="124" t="s">
        <v>72</v>
      </c>
      <c r="B86" s="125">
        <v>58.22</v>
      </c>
      <c r="C86" s="126">
        <f t="shared" si="8"/>
        <v>104950.965</v>
      </c>
      <c r="D86" s="127">
        <v>6110245.1823000005</v>
      </c>
      <c r="E86" s="126">
        <f t="shared" si="9"/>
        <v>105493.465</v>
      </c>
      <c r="F86" s="127">
        <v>6141829.5323000001</v>
      </c>
      <c r="G86" s="126">
        <f t="shared" si="10"/>
        <v>106035.965</v>
      </c>
      <c r="H86" s="127">
        <v>6173413.8822999997</v>
      </c>
      <c r="I86" s="126">
        <f t="shared" si="11"/>
        <v>105493.465</v>
      </c>
      <c r="J86" s="23">
        <v>6141829.5323000001</v>
      </c>
      <c r="K86" s="25" t="s">
        <v>71</v>
      </c>
    </row>
    <row r="87" spans="1:11">
      <c r="A87" s="121" t="s">
        <v>73</v>
      </c>
      <c r="B87" s="131">
        <v>21.6</v>
      </c>
      <c r="C87" s="132">
        <f t="shared" si="8"/>
        <v>153400.55499999999</v>
      </c>
      <c r="D87" s="133">
        <v>3313451.9879999999</v>
      </c>
      <c r="E87" s="132">
        <f t="shared" si="9"/>
        <v>153943.05499999999</v>
      </c>
      <c r="F87" s="133">
        <v>3325169.9879999999</v>
      </c>
      <c r="G87" s="119">
        <f t="shared" si="10"/>
        <v>154485.55499999999</v>
      </c>
      <c r="H87" s="130">
        <v>3336887.9879999999</v>
      </c>
      <c r="I87" s="132">
        <f t="shared" si="11"/>
        <v>153943.05499999999</v>
      </c>
      <c r="J87" s="141">
        <v>3325169.9879999999</v>
      </c>
      <c r="K87" s="163" t="s">
        <v>71</v>
      </c>
    </row>
    <row r="88" spans="1:11">
      <c r="A88" s="110" t="s">
        <v>74</v>
      </c>
      <c r="B88" s="134">
        <v>37.549999999999997</v>
      </c>
      <c r="C88" s="135">
        <f t="shared" si="8"/>
        <v>123131.22500000001</v>
      </c>
      <c r="D88" s="133">
        <v>4623577.4987500003</v>
      </c>
      <c r="E88" s="135">
        <f t="shared" si="9"/>
        <v>123673.72500000001</v>
      </c>
      <c r="F88" s="133">
        <v>4643948.3737500003</v>
      </c>
      <c r="G88" s="129">
        <f t="shared" si="10"/>
        <v>124215.14</v>
      </c>
      <c r="H88" s="130">
        <v>4664278.5070000002</v>
      </c>
      <c r="I88" s="135">
        <f t="shared" si="11"/>
        <v>123672.64</v>
      </c>
      <c r="J88" s="35">
        <v>4643907.6320000002</v>
      </c>
      <c r="K88" s="163" t="s">
        <v>71</v>
      </c>
    </row>
    <row r="89" spans="1:11">
      <c r="A89" s="110" t="s">
        <v>75</v>
      </c>
      <c r="B89" s="134">
        <v>56.58</v>
      </c>
      <c r="C89" s="135">
        <f t="shared" si="8"/>
        <v>105682.255</v>
      </c>
      <c r="D89" s="133">
        <v>5979501.9879000001</v>
      </c>
      <c r="E89" s="135">
        <f t="shared" si="9"/>
        <v>106224.755</v>
      </c>
      <c r="F89" s="133">
        <v>6010196.6379000004</v>
      </c>
      <c r="G89" s="129">
        <f t="shared" si="10"/>
        <v>106767.255</v>
      </c>
      <c r="H89" s="130">
        <v>6040891.2878999999</v>
      </c>
      <c r="I89" s="135">
        <f t="shared" si="11"/>
        <v>106224.755</v>
      </c>
      <c r="J89" s="35">
        <v>6010196.6379000004</v>
      </c>
      <c r="K89" s="163" t="s">
        <v>71</v>
      </c>
    </row>
    <row r="90" spans="1:11">
      <c r="A90" s="124" t="s">
        <v>75</v>
      </c>
      <c r="B90" s="136">
        <v>58.22</v>
      </c>
      <c r="C90" s="137">
        <f t="shared" si="8"/>
        <v>104950.965</v>
      </c>
      <c r="D90" s="138">
        <v>6110245.1823000005</v>
      </c>
      <c r="E90" s="137">
        <f t="shared" si="9"/>
        <v>105493.465</v>
      </c>
      <c r="F90" s="138">
        <v>6141829.5323000001</v>
      </c>
      <c r="G90" s="126">
        <f t="shared" si="10"/>
        <v>106035.965</v>
      </c>
      <c r="H90" s="127">
        <v>6173413.8822999997</v>
      </c>
      <c r="I90" s="137">
        <f t="shared" si="11"/>
        <v>105493.465</v>
      </c>
      <c r="J90" s="23">
        <v>6141829.5323000001</v>
      </c>
      <c r="K90" s="164" t="s">
        <v>71</v>
      </c>
    </row>
    <row r="91" spans="1:11">
      <c r="A91" s="110" t="s">
        <v>76</v>
      </c>
      <c r="B91" s="139">
        <v>35.67</v>
      </c>
      <c r="C91" s="132">
        <f t="shared" si="8"/>
        <v>114056.285</v>
      </c>
      <c r="D91" s="140">
        <v>4068387.6859499998</v>
      </c>
      <c r="E91" s="132">
        <f t="shared" si="9"/>
        <v>114598.785</v>
      </c>
      <c r="F91" s="140">
        <v>4087738.6609499999</v>
      </c>
      <c r="G91" s="119">
        <f t="shared" si="10"/>
        <v>115141.285</v>
      </c>
      <c r="H91" s="141">
        <v>4107089.63595</v>
      </c>
      <c r="I91" s="132">
        <f t="shared" si="11"/>
        <v>114598.785</v>
      </c>
      <c r="J91" s="141">
        <v>4087738.6609499999</v>
      </c>
      <c r="K91" s="165" t="s">
        <v>56</v>
      </c>
    </row>
    <row r="92" spans="1:11">
      <c r="A92" s="124" t="s">
        <v>76</v>
      </c>
      <c r="B92" s="142">
        <v>37.090000000000003</v>
      </c>
      <c r="C92" s="143">
        <f t="shared" si="8"/>
        <v>113145.97</v>
      </c>
      <c r="D92" s="144">
        <v>4196584.0273000002</v>
      </c>
      <c r="E92" s="143">
        <f t="shared" si="9"/>
        <v>113688.47</v>
      </c>
      <c r="F92" s="144">
        <v>4216705.3523000004</v>
      </c>
      <c r="G92" s="116">
        <f t="shared" si="10"/>
        <v>114230.97</v>
      </c>
      <c r="H92" s="145">
        <v>4236826.6772999996</v>
      </c>
      <c r="I92" s="143">
        <f t="shared" si="11"/>
        <v>113688.47</v>
      </c>
      <c r="J92" s="145">
        <v>4216705.3523000004</v>
      </c>
      <c r="K92" s="166" t="s">
        <v>56</v>
      </c>
    </row>
  </sheetData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1:L128"/>
  <sheetViews>
    <sheetView topLeftCell="A91" zoomScale="90" zoomScaleNormal="90" workbookViewId="0">
      <selection activeCell="A95" sqref="A95"/>
    </sheetView>
  </sheetViews>
  <sheetFormatPr defaultColWidth="8.85546875" defaultRowHeight="1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3" customWidth="1"/>
    <col min="6" max="6" width="12.42578125" customWidth="1"/>
    <col min="7" max="7" width="13.28515625" style="3" customWidth="1"/>
    <col min="8" max="8" width="13.140625" style="3" customWidth="1"/>
    <col min="9" max="9" width="13.28515625" style="3" customWidth="1"/>
    <col min="10" max="10" width="13.42578125" style="3" customWidth="1"/>
    <col min="11" max="11" width="28.28515625" style="3" customWidth="1"/>
    <col min="12" max="12" width="14.85546875" style="3" customWidth="1"/>
    <col min="13" max="13" width="11.85546875" customWidth="1"/>
    <col min="14" max="14" width="10.140625" customWidth="1"/>
  </cols>
  <sheetData>
    <row r="1" spans="1:12" s="1" customFormat="1" ht="27.75" customHeight="1">
      <c r="A1" s="239" t="s">
        <v>120</v>
      </c>
      <c r="E1" s="4"/>
      <c r="G1" s="4"/>
      <c r="H1" s="4"/>
      <c r="I1" s="4"/>
      <c r="J1" s="4"/>
      <c r="K1" s="4"/>
      <c r="L1" s="4"/>
    </row>
    <row r="2" spans="1:12" ht="45" customHeight="1">
      <c r="A2" s="107" t="s">
        <v>41</v>
      </c>
      <c r="B2" s="108" t="s">
        <v>42</v>
      </c>
      <c r="C2" s="109" t="s">
        <v>43</v>
      </c>
      <c r="D2" s="108" t="s">
        <v>44</v>
      </c>
      <c r="E2" s="109" t="s">
        <v>45</v>
      </c>
      <c r="F2" s="108" t="s">
        <v>44</v>
      </c>
      <c r="G2" s="109" t="s">
        <v>46</v>
      </c>
      <c r="H2" s="108" t="s">
        <v>44</v>
      </c>
      <c r="I2" s="109" t="s">
        <v>47</v>
      </c>
      <c r="J2" s="108" t="s">
        <v>44</v>
      </c>
      <c r="K2" s="157" t="s">
        <v>48</v>
      </c>
      <c r="L2" s="158"/>
    </row>
    <row r="3" spans="1:12">
      <c r="A3" s="110" t="s">
        <v>49</v>
      </c>
      <c r="B3" s="111">
        <v>56.58</v>
      </c>
      <c r="C3" s="112">
        <v>89450</v>
      </c>
      <c r="D3" s="113">
        <f>C3*B3</f>
        <v>5061081</v>
      </c>
      <c r="E3" s="112">
        <v>89950</v>
      </c>
      <c r="F3" s="113">
        <f>E3*B3</f>
        <v>5089371</v>
      </c>
      <c r="G3" s="112">
        <v>90450</v>
      </c>
      <c r="H3" s="113">
        <f>G3*B3</f>
        <v>5117661</v>
      </c>
      <c r="I3" s="112">
        <v>89950</v>
      </c>
      <c r="J3" s="113">
        <f>I3*B3</f>
        <v>5089371</v>
      </c>
      <c r="K3" s="19" t="s">
        <v>50</v>
      </c>
      <c r="L3" s="159"/>
    </row>
    <row r="4" spans="1:12">
      <c r="A4" s="110" t="s">
        <v>49</v>
      </c>
      <c r="B4" s="114">
        <v>58.22</v>
      </c>
      <c r="C4" s="112">
        <v>89000</v>
      </c>
      <c r="D4" s="115">
        <f>C4*B4</f>
        <v>5181580</v>
      </c>
      <c r="E4" s="116">
        <v>89500</v>
      </c>
      <c r="F4" s="115">
        <f>E4*B4</f>
        <v>5210690</v>
      </c>
      <c r="G4" s="116">
        <v>90000</v>
      </c>
      <c r="H4" s="115">
        <f>G4*B4</f>
        <v>5239800</v>
      </c>
      <c r="I4" s="116">
        <v>89500</v>
      </c>
      <c r="J4" s="115">
        <f>I4*B4</f>
        <v>5210690</v>
      </c>
      <c r="K4" s="160" t="s">
        <v>50</v>
      </c>
      <c r="L4" s="159"/>
    </row>
    <row r="5" spans="1:12">
      <c r="A5" s="117" t="s">
        <v>51</v>
      </c>
      <c r="B5" s="118">
        <v>21.6</v>
      </c>
      <c r="C5" s="119">
        <v>130809</v>
      </c>
      <c r="D5" s="120">
        <f t="shared" ref="D5:D30" si="0">C5*B5</f>
        <v>2825474.4</v>
      </c>
      <c r="E5" s="119">
        <v>131309</v>
      </c>
      <c r="F5" s="120">
        <f t="shared" ref="F5:F30" si="1">E5*B5</f>
        <v>2836274.4</v>
      </c>
      <c r="G5" s="119">
        <v>131809</v>
      </c>
      <c r="H5" s="120">
        <f t="shared" ref="H5:H30" si="2">G5*B5</f>
        <v>2847074.4</v>
      </c>
      <c r="I5" s="119">
        <v>131309</v>
      </c>
      <c r="J5" s="120">
        <f t="shared" ref="J5:J30" si="3">I5*B5</f>
        <v>2836274.4</v>
      </c>
      <c r="K5" s="161" t="s">
        <v>50</v>
      </c>
      <c r="L5" s="159"/>
    </row>
    <row r="6" spans="1:12">
      <c r="A6" s="121" t="s">
        <v>52</v>
      </c>
      <c r="B6" s="111">
        <v>37.549999999999997</v>
      </c>
      <c r="C6" s="122">
        <v>102831</v>
      </c>
      <c r="D6" s="123">
        <f t="shared" si="0"/>
        <v>3861304.05</v>
      </c>
      <c r="E6" s="122">
        <v>103331</v>
      </c>
      <c r="F6" s="123">
        <f t="shared" si="1"/>
        <v>3880079.05</v>
      </c>
      <c r="G6" s="122">
        <v>103831</v>
      </c>
      <c r="H6" s="123">
        <f t="shared" si="2"/>
        <v>3898854.05</v>
      </c>
      <c r="I6" s="122">
        <v>103331</v>
      </c>
      <c r="J6" s="123">
        <f t="shared" si="3"/>
        <v>3880079.05</v>
      </c>
      <c r="K6" s="19" t="s">
        <v>50</v>
      </c>
      <c r="L6" s="159"/>
    </row>
    <row r="7" spans="1:12">
      <c r="A7" s="110" t="s">
        <v>53</v>
      </c>
      <c r="B7" s="111">
        <v>56.58</v>
      </c>
      <c r="C7" s="112">
        <v>89450</v>
      </c>
      <c r="D7" s="113">
        <f t="shared" si="0"/>
        <v>5061081</v>
      </c>
      <c r="E7" s="112">
        <v>89950</v>
      </c>
      <c r="F7" s="113">
        <f t="shared" si="1"/>
        <v>5089371</v>
      </c>
      <c r="G7" s="112">
        <v>90450</v>
      </c>
      <c r="H7" s="113">
        <f t="shared" si="2"/>
        <v>5117661</v>
      </c>
      <c r="I7" s="112">
        <v>89950</v>
      </c>
      <c r="J7" s="113">
        <f t="shared" si="3"/>
        <v>5089371</v>
      </c>
      <c r="K7" s="19" t="s">
        <v>50</v>
      </c>
      <c r="L7" s="159"/>
    </row>
    <row r="8" spans="1:12">
      <c r="A8" s="124" t="s">
        <v>54</v>
      </c>
      <c r="B8" s="125">
        <v>58.22</v>
      </c>
      <c r="C8" s="126">
        <v>89000</v>
      </c>
      <c r="D8" s="127">
        <f t="shared" si="0"/>
        <v>5181580</v>
      </c>
      <c r="E8" s="126">
        <v>89500</v>
      </c>
      <c r="F8" s="127">
        <f t="shared" si="1"/>
        <v>5210690</v>
      </c>
      <c r="G8" s="126">
        <v>90000</v>
      </c>
      <c r="H8" s="23">
        <f t="shared" si="2"/>
        <v>5239800</v>
      </c>
      <c r="I8" s="116">
        <v>89500</v>
      </c>
      <c r="J8" s="115">
        <f t="shared" si="3"/>
        <v>5210690</v>
      </c>
      <c r="K8" s="160" t="s">
        <v>50</v>
      </c>
      <c r="L8" s="159"/>
    </row>
    <row r="9" spans="1:12">
      <c r="A9" s="117" t="s">
        <v>55</v>
      </c>
      <c r="B9" s="118">
        <v>21.6</v>
      </c>
      <c r="C9" s="119">
        <v>130809</v>
      </c>
      <c r="D9" s="120">
        <f t="shared" ref="D9:D12" si="4">C9*B9</f>
        <v>2825474.4</v>
      </c>
      <c r="E9" s="119">
        <v>131309</v>
      </c>
      <c r="F9" s="120">
        <f t="shared" ref="F9:F12" si="5">E9*B9</f>
        <v>2836274.4</v>
      </c>
      <c r="G9" s="119">
        <v>131809</v>
      </c>
      <c r="H9" s="120">
        <f t="shared" ref="H9:H12" si="6">G9*B9</f>
        <v>2847074.4</v>
      </c>
      <c r="I9" s="119">
        <v>131309</v>
      </c>
      <c r="J9" s="120">
        <f t="shared" ref="J9:J12" si="7">I9*B9</f>
        <v>2836274.4</v>
      </c>
      <c r="K9" s="161" t="s">
        <v>56</v>
      </c>
      <c r="L9" s="159"/>
    </row>
    <row r="10" spans="1:12">
      <c r="A10" s="121" t="s">
        <v>57</v>
      </c>
      <c r="B10" s="111">
        <v>37.549999999999997</v>
      </c>
      <c r="C10" s="122">
        <v>102831</v>
      </c>
      <c r="D10" s="123">
        <f t="shared" si="4"/>
        <v>3861304.05</v>
      </c>
      <c r="E10" s="122">
        <v>103331</v>
      </c>
      <c r="F10" s="123">
        <f t="shared" si="5"/>
        <v>3880079.05</v>
      </c>
      <c r="G10" s="122">
        <v>103831</v>
      </c>
      <c r="H10" s="123">
        <f t="shared" si="6"/>
        <v>3898854.05</v>
      </c>
      <c r="I10" s="122">
        <v>103331</v>
      </c>
      <c r="J10" s="123">
        <f t="shared" si="7"/>
        <v>3880079.05</v>
      </c>
      <c r="K10" s="19" t="s">
        <v>56</v>
      </c>
      <c r="L10" s="159"/>
    </row>
    <row r="11" spans="1:12">
      <c r="A11" s="110" t="s">
        <v>58</v>
      </c>
      <c r="B11" s="111">
        <v>56.58</v>
      </c>
      <c r="C11" s="112">
        <v>89450</v>
      </c>
      <c r="D11" s="113">
        <f t="shared" si="4"/>
        <v>5061081</v>
      </c>
      <c r="E11" s="112">
        <v>89950</v>
      </c>
      <c r="F11" s="113">
        <f t="shared" si="5"/>
        <v>5089371</v>
      </c>
      <c r="G11" s="112">
        <v>90450</v>
      </c>
      <c r="H11" s="113">
        <f t="shared" si="6"/>
        <v>5117661</v>
      </c>
      <c r="I11" s="112">
        <v>89950</v>
      </c>
      <c r="J11" s="113">
        <f t="shared" si="7"/>
        <v>5089371</v>
      </c>
      <c r="K11" s="19" t="s">
        <v>56</v>
      </c>
      <c r="L11" s="159"/>
    </row>
    <row r="12" spans="1:12">
      <c r="A12" s="124" t="s">
        <v>59</v>
      </c>
      <c r="B12" s="125">
        <v>58.22</v>
      </c>
      <c r="C12" s="126">
        <v>89000</v>
      </c>
      <c r="D12" s="127">
        <f t="shared" si="4"/>
        <v>5181580</v>
      </c>
      <c r="E12" s="126">
        <v>89500</v>
      </c>
      <c r="F12" s="127">
        <f t="shared" si="5"/>
        <v>5210690</v>
      </c>
      <c r="G12" s="126">
        <v>90000</v>
      </c>
      <c r="H12" s="23">
        <f t="shared" si="6"/>
        <v>5239800</v>
      </c>
      <c r="I12" s="116">
        <v>89500</v>
      </c>
      <c r="J12" s="115">
        <f t="shared" si="7"/>
        <v>5210690</v>
      </c>
      <c r="K12" s="160" t="s">
        <v>56</v>
      </c>
      <c r="L12" s="159"/>
    </row>
    <row r="13" spans="1:12">
      <c r="A13" s="121" t="s">
        <v>60</v>
      </c>
      <c r="B13" s="128">
        <v>21.6</v>
      </c>
      <c r="C13" s="129">
        <v>143433</v>
      </c>
      <c r="D13" s="130">
        <f t="shared" si="0"/>
        <v>3098152.8</v>
      </c>
      <c r="E13" s="129">
        <v>143933</v>
      </c>
      <c r="F13" s="130">
        <f t="shared" si="1"/>
        <v>3108952.8</v>
      </c>
      <c r="G13" s="129">
        <v>144433</v>
      </c>
      <c r="H13" s="130">
        <f t="shared" si="2"/>
        <v>3119752.8</v>
      </c>
      <c r="I13" s="129">
        <v>143933</v>
      </c>
      <c r="J13" s="130">
        <f t="shared" si="3"/>
        <v>3108952.8</v>
      </c>
      <c r="K13" s="36" t="s">
        <v>61</v>
      </c>
      <c r="L13" s="159"/>
    </row>
    <row r="14" spans="1:12">
      <c r="A14" s="110" t="s">
        <v>62</v>
      </c>
      <c r="B14" s="111">
        <v>37.549999999999997</v>
      </c>
      <c r="C14" s="129">
        <v>115335</v>
      </c>
      <c r="D14" s="130">
        <f t="shared" si="0"/>
        <v>4330829.25</v>
      </c>
      <c r="E14" s="129">
        <v>115835</v>
      </c>
      <c r="F14" s="130">
        <f t="shared" si="1"/>
        <v>4349604.25</v>
      </c>
      <c r="G14" s="129">
        <v>116335</v>
      </c>
      <c r="H14" s="130">
        <f t="shared" si="2"/>
        <v>4368379.25</v>
      </c>
      <c r="I14" s="129">
        <v>115835</v>
      </c>
      <c r="J14" s="130">
        <f t="shared" si="3"/>
        <v>4349604.25</v>
      </c>
      <c r="K14" s="36" t="s">
        <v>61</v>
      </c>
      <c r="L14" s="162"/>
    </row>
    <row r="15" spans="1:12">
      <c r="A15" s="110" t="s">
        <v>63</v>
      </c>
      <c r="B15" s="111">
        <v>56.58</v>
      </c>
      <c r="C15" s="129">
        <v>99553</v>
      </c>
      <c r="D15" s="130">
        <f t="shared" si="0"/>
        <v>5632708.7400000002</v>
      </c>
      <c r="E15" s="129">
        <v>100053</v>
      </c>
      <c r="F15" s="130">
        <f t="shared" si="1"/>
        <v>5660998.7400000002</v>
      </c>
      <c r="G15" s="129">
        <v>100553</v>
      </c>
      <c r="H15" s="130">
        <f t="shared" si="2"/>
        <v>5689288.7400000002</v>
      </c>
      <c r="I15" s="129">
        <v>100053</v>
      </c>
      <c r="J15" s="130">
        <f t="shared" si="3"/>
        <v>5660998.7400000002</v>
      </c>
      <c r="K15" s="36" t="s">
        <v>61</v>
      </c>
      <c r="L15" s="159"/>
    </row>
    <row r="16" spans="1:12">
      <c r="A16" s="124" t="s">
        <v>63</v>
      </c>
      <c r="B16" s="125">
        <v>58.22</v>
      </c>
      <c r="C16" s="126">
        <v>98879</v>
      </c>
      <c r="D16" s="127">
        <f t="shared" si="0"/>
        <v>5756735.3799999999</v>
      </c>
      <c r="E16" s="126">
        <v>99879</v>
      </c>
      <c r="F16" s="127">
        <f t="shared" si="1"/>
        <v>5814955.3799999999</v>
      </c>
      <c r="G16" s="126">
        <v>99879</v>
      </c>
      <c r="H16" s="127">
        <f t="shared" si="2"/>
        <v>5814955.3799999999</v>
      </c>
      <c r="I16" s="126">
        <v>99379</v>
      </c>
      <c r="J16" s="23">
        <f t="shared" si="3"/>
        <v>5785845.3799999999</v>
      </c>
      <c r="K16" s="25" t="s">
        <v>61</v>
      </c>
      <c r="L16" s="159"/>
    </row>
    <row r="17" spans="1:12" ht="18.75" customHeight="1">
      <c r="A17" s="121" t="s">
        <v>64</v>
      </c>
      <c r="B17" s="128">
        <v>21.6</v>
      </c>
      <c r="C17" s="129">
        <v>132124</v>
      </c>
      <c r="D17" s="130">
        <f t="shared" si="0"/>
        <v>2853878.4</v>
      </c>
      <c r="E17" s="129">
        <v>132624</v>
      </c>
      <c r="F17" s="130">
        <f t="shared" si="1"/>
        <v>2864678.4</v>
      </c>
      <c r="G17" s="129">
        <v>133124</v>
      </c>
      <c r="H17" s="130">
        <f t="shared" si="2"/>
        <v>2875478.4</v>
      </c>
      <c r="I17" s="129">
        <v>132624</v>
      </c>
      <c r="J17" s="130">
        <f t="shared" si="3"/>
        <v>2864678.4</v>
      </c>
      <c r="K17" s="36" t="s">
        <v>65</v>
      </c>
      <c r="L17" s="159"/>
    </row>
    <row r="18" spans="1:12">
      <c r="A18" s="110" t="s">
        <v>66</v>
      </c>
      <c r="B18" s="111">
        <v>37.549999999999997</v>
      </c>
      <c r="C18" s="129">
        <v>108158</v>
      </c>
      <c r="D18" s="130">
        <f t="shared" si="0"/>
        <v>4061332.9</v>
      </c>
      <c r="E18" s="129">
        <v>108658</v>
      </c>
      <c r="F18" s="130">
        <f t="shared" si="1"/>
        <v>4080107.9</v>
      </c>
      <c r="G18" s="129">
        <v>109158</v>
      </c>
      <c r="H18" s="130">
        <f t="shared" si="2"/>
        <v>4098882.9</v>
      </c>
      <c r="I18" s="129">
        <v>108658</v>
      </c>
      <c r="J18" s="130">
        <f t="shared" si="3"/>
        <v>4080107.9</v>
      </c>
      <c r="K18" s="36" t="s">
        <v>65</v>
      </c>
      <c r="L18" s="159"/>
    </row>
    <row r="19" spans="1:12">
      <c r="A19" s="110" t="s">
        <v>67</v>
      </c>
      <c r="B19" s="111">
        <v>56.58</v>
      </c>
      <c r="C19" s="129">
        <v>94769</v>
      </c>
      <c r="D19" s="130">
        <f t="shared" si="0"/>
        <v>5362030.0199999996</v>
      </c>
      <c r="E19" s="129">
        <v>95269</v>
      </c>
      <c r="F19" s="130">
        <f t="shared" si="1"/>
        <v>5390320.0199999996</v>
      </c>
      <c r="G19" s="129">
        <v>95769</v>
      </c>
      <c r="H19" s="130">
        <f t="shared" si="2"/>
        <v>5418610.0199999996</v>
      </c>
      <c r="I19" s="129">
        <v>95269</v>
      </c>
      <c r="J19" s="130">
        <f t="shared" si="3"/>
        <v>5390320.0199999996</v>
      </c>
      <c r="K19" s="36" t="s">
        <v>65</v>
      </c>
      <c r="L19" s="159"/>
    </row>
    <row r="20" spans="1:12">
      <c r="A20" s="124" t="s">
        <v>67</v>
      </c>
      <c r="B20" s="125">
        <v>58.22</v>
      </c>
      <c r="C20" s="126">
        <v>94194</v>
      </c>
      <c r="D20" s="127">
        <f t="shared" si="0"/>
        <v>5483974.6799999997</v>
      </c>
      <c r="E20" s="126">
        <v>94694</v>
      </c>
      <c r="F20" s="127">
        <f t="shared" si="1"/>
        <v>5513084.6799999997</v>
      </c>
      <c r="G20" s="126">
        <v>95194</v>
      </c>
      <c r="H20" s="127">
        <f t="shared" si="2"/>
        <v>5542194.6799999997</v>
      </c>
      <c r="I20" s="126">
        <v>94694</v>
      </c>
      <c r="J20" s="23">
        <f t="shared" si="3"/>
        <v>5513084.6799999997</v>
      </c>
      <c r="K20" s="25" t="s">
        <v>65</v>
      </c>
      <c r="L20" s="159"/>
    </row>
    <row r="21" spans="1:12">
      <c r="A21" s="121" t="s">
        <v>68</v>
      </c>
      <c r="B21" s="128">
        <v>21.6</v>
      </c>
      <c r="C21" s="129">
        <v>132124</v>
      </c>
      <c r="D21" s="130">
        <f t="shared" si="0"/>
        <v>2853878.4</v>
      </c>
      <c r="E21" s="129">
        <v>132624</v>
      </c>
      <c r="F21" s="130">
        <f t="shared" si="1"/>
        <v>2864678.4</v>
      </c>
      <c r="G21" s="129">
        <v>133124</v>
      </c>
      <c r="H21" s="130">
        <f t="shared" si="2"/>
        <v>2875478.4</v>
      </c>
      <c r="I21" s="129">
        <v>132624</v>
      </c>
      <c r="J21" s="130">
        <f t="shared" si="3"/>
        <v>2864678.4</v>
      </c>
      <c r="K21" s="36" t="s">
        <v>69</v>
      </c>
      <c r="L21" s="159"/>
    </row>
    <row r="22" spans="1:12">
      <c r="A22" s="110" t="s">
        <v>70</v>
      </c>
      <c r="B22" s="111">
        <v>37.549999999999997</v>
      </c>
      <c r="C22" s="129">
        <v>113485</v>
      </c>
      <c r="D22" s="130">
        <f t="shared" si="0"/>
        <v>4261361.75</v>
      </c>
      <c r="E22" s="129">
        <v>113984</v>
      </c>
      <c r="F22" s="130">
        <f t="shared" si="1"/>
        <v>4280099.2</v>
      </c>
      <c r="G22" s="129">
        <v>114484</v>
      </c>
      <c r="H22" s="130">
        <f t="shared" si="2"/>
        <v>4298874.2</v>
      </c>
      <c r="I22" s="129">
        <v>113984</v>
      </c>
      <c r="J22" s="130">
        <f t="shared" si="3"/>
        <v>4280099.2</v>
      </c>
      <c r="K22" s="36" t="s">
        <v>71</v>
      </c>
      <c r="L22" s="162"/>
    </row>
    <row r="23" spans="1:12">
      <c r="A23" s="110" t="s">
        <v>72</v>
      </c>
      <c r="B23" s="111">
        <v>56.58</v>
      </c>
      <c r="C23" s="129">
        <v>97403</v>
      </c>
      <c r="D23" s="130">
        <f t="shared" si="0"/>
        <v>5511061.7400000002</v>
      </c>
      <c r="E23" s="129">
        <v>97903</v>
      </c>
      <c r="F23" s="130">
        <f t="shared" si="1"/>
        <v>5539351.7400000002</v>
      </c>
      <c r="G23" s="129">
        <v>98403</v>
      </c>
      <c r="H23" s="130">
        <f t="shared" si="2"/>
        <v>5567641.7400000002</v>
      </c>
      <c r="I23" s="129">
        <v>97903</v>
      </c>
      <c r="J23" s="130">
        <f t="shared" si="3"/>
        <v>5539351.7400000002</v>
      </c>
      <c r="K23" s="36" t="s">
        <v>71</v>
      </c>
      <c r="L23" s="159"/>
    </row>
    <row r="24" spans="1:12" ht="16.5" customHeight="1">
      <c r="A24" s="124" t="s">
        <v>72</v>
      </c>
      <c r="B24" s="125">
        <v>58.22</v>
      </c>
      <c r="C24" s="126">
        <v>96729</v>
      </c>
      <c r="D24" s="127">
        <f t="shared" si="0"/>
        <v>5631562.3799999999</v>
      </c>
      <c r="E24" s="126">
        <v>97229</v>
      </c>
      <c r="F24" s="127">
        <f t="shared" si="1"/>
        <v>5660672.3799999999</v>
      </c>
      <c r="G24" s="126">
        <v>97729</v>
      </c>
      <c r="H24" s="127">
        <f t="shared" si="2"/>
        <v>5689782.3799999999</v>
      </c>
      <c r="I24" s="126">
        <v>97229</v>
      </c>
      <c r="J24" s="23">
        <f t="shared" si="3"/>
        <v>5660672.3799999999</v>
      </c>
      <c r="K24" s="25" t="s">
        <v>71</v>
      </c>
      <c r="L24" s="159"/>
    </row>
    <row r="25" spans="1:12">
      <c r="A25" s="121" t="s">
        <v>73</v>
      </c>
      <c r="B25" s="131">
        <v>21.6</v>
      </c>
      <c r="C25" s="132">
        <v>141383</v>
      </c>
      <c r="D25" s="133">
        <f t="shared" si="0"/>
        <v>3053872.8</v>
      </c>
      <c r="E25" s="132">
        <v>141883</v>
      </c>
      <c r="F25" s="133">
        <f t="shared" si="1"/>
        <v>3064672.8</v>
      </c>
      <c r="G25" s="119">
        <v>142383</v>
      </c>
      <c r="H25" s="130">
        <f t="shared" si="2"/>
        <v>3075472.8</v>
      </c>
      <c r="I25" s="132">
        <v>141883</v>
      </c>
      <c r="J25" s="141">
        <f t="shared" si="3"/>
        <v>3064672.8</v>
      </c>
      <c r="K25" s="163" t="s">
        <v>71</v>
      </c>
      <c r="L25" s="159"/>
    </row>
    <row r="26" spans="1:12">
      <c r="A26" s="110" t="s">
        <v>74</v>
      </c>
      <c r="B26" s="134">
        <v>37.549999999999997</v>
      </c>
      <c r="C26" s="135">
        <v>113485</v>
      </c>
      <c r="D26" s="133">
        <f t="shared" si="0"/>
        <v>4261361.75</v>
      </c>
      <c r="E26" s="135">
        <v>113985</v>
      </c>
      <c r="F26" s="133">
        <f t="shared" si="1"/>
        <v>4280136.75</v>
      </c>
      <c r="G26" s="129">
        <v>114484</v>
      </c>
      <c r="H26" s="130">
        <f t="shared" si="2"/>
        <v>4298874.2</v>
      </c>
      <c r="I26" s="135">
        <v>113984</v>
      </c>
      <c r="J26" s="35">
        <f t="shared" si="3"/>
        <v>4280099.2</v>
      </c>
      <c r="K26" s="163" t="s">
        <v>71</v>
      </c>
      <c r="L26" s="162"/>
    </row>
    <row r="27" spans="1:12">
      <c r="A27" s="110" t="s">
        <v>75</v>
      </c>
      <c r="B27" s="134">
        <v>56.58</v>
      </c>
      <c r="C27" s="135">
        <v>97403</v>
      </c>
      <c r="D27" s="133">
        <f t="shared" si="0"/>
        <v>5511061.7400000002</v>
      </c>
      <c r="E27" s="135">
        <v>97903</v>
      </c>
      <c r="F27" s="133">
        <f t="shared" si="1"/>
        <v>5539351.7400000002</v>
      </c>
      <c r="G27" s="129">
        <v>98403</v>
      </c>
      <c r="H27" s="130">
        <f t="shared" si="2"/>
        <v>5567641.7400000002</v>
      </c>
      <c r="I27" s="135">
        <v>97903</v>
      </c>
      <c r="J27" s="35">
        <f t="shared" si="3"/>
        <v>5539351.7400000002</v>
      </c>
      <c r="K27" s="163" t="s">
        <v>71</v>
      </c>
      <c r="L27" s="159"/>
    </row>
    <row r="28" spans="1:12">
      <c r="A28" s="124" t="s">
        <v>75</v>
      </c>
      <c r="B28" s="136">
        <v>58.22</v>
      </c>
      <c r="C28" s="137">
        <v>96729</v>
      </c>
      <c r="D28" s="138">
        <f t="shared" si="0"/>
        <v>5631562.3799999999</v>
      </c>
      <c r="E28" s="137">
        <v>97229</v>
      </c>
      <c r="F28" s="138">
        <f t="shared" si="1"/>
        <v>5660672.3799999999</v>
      </c>
      <c r="G28" s="126">
        <v>97729</v>
      </c>
      <c r="H28" s="127">
        <f t="shared" si="2"/>
        <v>5689782.3799999999</v>
      </c>
      <c r="I28" s="137">
        <v>97229</v>
      </c>
      <c r="J28" s="23">
        <f t="shared" si="3"/>
        <v>5660672.3799999999</v>
      </c>
      <c r="K28" s="164" t="s">
        <v>71</v>
      </c>
      <c r="L28" s="159"/>
    </row>
    <row r="29" spans="1:12">
      <c r="A29" s="110" t="s">
        <v>76</v>
      </c>
      <c r="B29" s="139">
        <v>35.67</v>
      </c>
      <c r="C29" s="132">
        <v>105121</v>
      </c>
      <c r="D29" s="140">
        <f t="shared" si="0"/>
        <v>3749666.07</v>
      </c>
      <c r="E29" s="132">
        <v>105621</v>
      </c>
      <c r="F29" s="140">
        <f t="shared" si="1"/>
        <v>3767501.07</v>
      </c>
      <c r="G29" s="119">
        <v>106121</v>
      </c>
      <c r="H29" s="141">
        <f t="shared" si="2"/>
        <v>3785336.07</v>
      </c>
      <c r="I29" s="132">
        <v>105621</v>
      </c>
      <c r="J29" s="141">
        <f t="shared" si="3"/>
        <v>3767501.07</v>
      </c>
      <c r="K29" s="165" t="s">
        <v>56</v>
      </c>
      <c r="L29" s="159"/>
    </row>
    <row r="30" spans="1:12">
      <c r="A30" s="124" t="s">
        <v>76</v>
      </c>
      <c r="B30" s="142">
        <v>37.090000000000003</v>
      </c>
      <c r="C30" s="143">
        <v>104282</v>
      </c>
      <c r="D30" s="144">
        <f t="shared" si="0"/>
        <v>3867819.38</v>
      </c>
      <c r="E30" s="143">
        <v>104782</v>
      </c>
      <c r="F30" s="144">
        <f t="shared" si="1"/>
        <v>3886364.38</v>
      </c>
      <c r="G30" s="116">
        <v>105282</v>
      </c>
      <c r="H30" s="145">
        <f t="shared" si="2"/>
        <v>3904909.38</v>
      </c>
      <c r="I30" s="143">
        <v>104782</v>
      </c>
      <c r="J30" s="145">
        <f t="shared" si="3"/>
        <v>3886364.38</v>
      </c>
      <c r="K30" s="166" t="s">
        <v>56</v>
      </c>
      <c r="L30" s="159"/>
    </row>
    <row r="31" spans="1:12">
      <c r="D31" s="45"/>
    </row>
    <row r="32" spans="1:12" s="1" customFormat="1" ht="27.75" customHeight="1">
      <c r="A32" s="239" t="s">
        <v>121</v>
      </c>
      <c r="E32" s="4"/>
      <c r="G32" s="4"/>
      <c r="H32" s="4"/>
      <c r="I32" s="4"/>
      <c r="J32" s="4"/>
      <c r="K32" s="4"/>
      <c r="L32" s="4"/>
    </row>
    <row r="33" spans="1:12" ht="45" customHeight="1">
      <c r="A33" s="107" t="s">
        <v>41</v>
      </c>
      <c r="B33" s="108" t="s">
        <v>42</v>
      </c>
      <c r="C33" s="109" t="s">
        <v>43</v>
      </c>
      <c r="D33" s="108" t="s">
        <v>44</v>
      </c>
      <c r="E33" s="109" t="s">
        <v>45</v>
      </c>
      <c r="F33" s="108" t="s">
        <v>44</v>
      </c>
      <c r="G33" s="109" t="s">
        <v>46</v>
      </c>
      <c r="H33" s="108" t="s">
        <v>44</v>
      </c>
      <c r="I33" s="109" t="s">
        <v>47</v>
      </c>
      <c r="J33" s="109" t="s">
        <v>44</v>
      </c>
      <c r="K33" s="157" t="s">
        <v>48</v>
      </c>
    </row>
    <row r="34" spans="1:12">
      <c r="A34" s="110" t="s">
        <v>49</v>
      </c>
      <c r="B34" s="111">
        <v>56.58</v>
      </c>
      <c r="C34" s="146">
        <f>D34/B34</f>
        <v>102867.5</v>
      </c>
      <c r="D34" s="113">
        <v>5820243.1500000004</v>
      </c>
      <c r="E34" s="146">
        <f>F34/B34</f>
        <v>103442.5</v>
      </c>
      <c r="F34" s="113">
        <v>5852776.6500000004</v>
      </c>
      <c r="G34" s="146">
        <f>H34/B34</f>
        <v>104017.5</v>
      </c>
      <c r="H34" s="113">
        <v>5885310.1500000004</v>
      </c>
      <c r="I34" s="146">
        <f>J34/B34</f>
        <v>103442.5</v>
      </c>
      <c r="J34" s="113">
        <v>5852776.6500000004</v>
      </c>
      <c r="K34" s="19" t="s">
        <v>50</v>
      </c>
      <c r="L34" s="159"/>
    </row>
    <row r="35" spans="1:12">
      <c r="A35" s="110" t="s">
        <v>49</v>
      </c>
      <c r="B35" s="114">
        <v>58.22</v>
      </c>
      <c r="C35" s="146">
        <f t="shared" ref="C35:C61" si="8">D35/B35</f>
        <v>102350</v>
      </c>
      <c r="D35" s="115">
        <v>5958817</v>
      </c>
      <c r="E35" s="147">
        <f t="shared" ref="E35:E61" si="9">F35/B35</f>
        <v>102925</v>
      </c>
      <c r="F35" s="115">
        <v>5992293.5</v>
      </c>
      <c r="G35" s="147">
        <f t="shared" ref="G35:G61" si="10">H35/B35</f>
        <v>103500</v>
      </c>
      <c r="H35" s="115">
        <v>6025770</v>
      </c>
      <c r="I35" s="147">
        <f t="shared" ref="I35:I61" si="11">J35/B35</f>
        <v>102925</v>
      </c>
      <c r="J35" s="115">
        <v>5992293.5</v>
      </c>
      <c r="K35" s="160" t="s">
        <v>50</v>
      </c>
      <c r="L35" s="159"/>
    </row>
    <row r="36" spans="1:12">
      <c r="A36" s="117" t="s">
        <v>51</v>
      </c>
      <c r="B36" s="118">
        <v>21.6</v>
      </c>
      <c r="C36" s="148">
        <f t="shared" si="8"/>
        <v>150430.35</v>
      </c>
      <c r="D36" s="120">
        <v>3249295.56</v>
      </c>
      <c r="E36" s="148">
        <f t="shared" si="9"/>
        <v>151005.35</v>
      </c>
      <c r="F36" s="120">
        <v>3261715.56</v>
      </c>
      <c r="G36" s="148">
        <f t="shared" si="10"/>
        <v>151580.35</v>
      </c>
      <c r="H36" s="120">
        <v>3274135.56</v>
      </c>
      <c r="I36" s="148">
        <f t="shared" si="11"/>
        <v>151005.35</v>
      </c>
      <c r="J36" s="120">
        <v>3261715.56</v>
      </c>
      <c r="K36" s="161" t="s">
        <v>50</v>
      </c>
      <c r="L36" s="159"/>
    </row>
    <row r="37" spans="1:12">
      <c r="A37" s="121" t="s">
        <v>52</v>
      </c>
      <c r="B37" s="111">
        <v>37.549999999999997</v>
      </c>
      <c r="C37" s="149">
        <f t="shared" si="8"/>
        <v>118255.65</v>
      </c>
      <c r="D37" s="123">
        <v>4440499.6574999997</v>
      </c>
      <c r="E37" s="149">
        <f t="shared" si="9"/>
        <v>118830.65</v>
      </c>
      <c r="F37" s="123">
        <v>4462090.9074999997</v>
      </c>
      <c r="G37" s="149">
        <f t="shared" si="10"/>
        <v>119405.65</v>
      </c>
      <c r="H37" s="123">
        <v>4483682.1574999997</v>
      </c>
      <c r="I37" s="149">
        <f t="shared" si="11"/>
        <v>118830.65</v>
      </c>
      <c r="J37" s="123">
        <v>4462090.9074999997</v>
      </c>
      <c r="K37" s="19" t="s">
        <v>50</v>
      </c>
      <c r="L37" s="159"/>
    </row>
    <row r="38" spans="1:12">
      <c r="A38" s="110" t="s">
        <v>53</v>
      </c>
      <c r="B38" s="111">
        <v>56.58</v>
      </c>
      <c r="C38" s="146">
        <f t="shared" si="8"/>
        <v>102867.5</v>
      </c>
      <c r="D38" s="113">
        <v>5820243.1500000004</v>
      </c>
      <c r="E38" s="146">
        <f t="shared" si="9"/>
        <v>103442.5</v>
      </c>
      <c r="F38" s="113">
        <v>5852776.6500000004</v>
      </c>
      <c r="G38" s="146">
        <f t="shared" si="10"/>
        <v>104017.5</v>
      </c>
      <c r="H38" s="113">
        <v>5885310.1500000004</v>
      </c>
      <c r="I38" s="146">
        <f t="shared" si="11"/>
        <v>103442.5</v>
      </c>
      <c r="J38" s="113">
        <v>5852776.6500000004</v>
      </c>
      <c r="K38" s="19" t="s">
        <v>50</v>
      </c>
      <c r="L38" s="159"/>
    </row>
    <row r="39" spans="1:12">
      <c r="A39" s="124" t="s">
        <v>54</v>
      </c>
      <c r="B39" s="125">
        <v>58.22</v>
      </c>
      <c r="C39" s="150">
        <f t="shared" si="8"/>
        <v>102350</v>
      </c>
      <c r="D39" s="127">
        <v>5958817</v>
      </c>
      <c r="E39" s="150">
        <f t="shared" si="9"/>
        <v>102925</v>
      </c>
      <c r="F39" s="127">
        <v>5992293.5</v>
      </c>
      <c r="G39" s="150">
        <f t="shared" si="10"/>
        <v>103500</v>
      </c>
      <c r="H39" s="23">
        <v>6025770</v>
      </c>
      <c r="I39" s="147">
        <f t="shared" si="11"/>
        <v>102925</v>
      </c>
      <c r="J39" s="115">
        <v>5992293.5</v>
      </c>
      <c r="K39" s="160" t="s">
        <v>50</v>
      </c>
      <c r="L39" s="159"/>
    </row>
    <row r="40" spans="1:12">
      <c r="A40" s="117" t="s">
        <v>55</v>
      </c>
      <c r="B40" s="118">
        <v>21.6</v>
      </c>
      <c r="C40" s="148">
        <f t="shared" si="8"/>
        <v>150430.35</v>
      </c>
      <c r="D40" s="120">
        <v>3249295.56</v>
      </c>
      <c r="E40" s="148">
        <f t="shared" si="9"/>
        <v>151005.35</v>
      </c>
      <c r="F40" s="120">
        <v>3261715.56</v>
      </c>
      <c r="G40" s="148">
        <f t="shared" si="10"/>
        <v>151580.35</v>
      </c>
      <c r="H40" s="120">
        <v>3274135.56</v>
      </c>
      <c r="I40" s="148">
        <f t="shared" si="11"/>
        <v>151005.35</v>
      </c>
      <c r="J40" s="120">
        <v>3261715.56</v>
      </c>
      <c r="K40" s="161" t="s">
        <v>56</v>
      </c>
      <c r="L40" s="159"/>
    </row>
    <row r="41" spans="1:12">
      <c r="A41" s="121" t="s">
        <v>57</v>
      </c>
      <c r="B41" s="111">
        <v>37.549999999999997</v>
      </c>
      <c r="C41" s="149">
        <f t="shared" si="8"/>
        <v>118255.65</v>
      </c>
      <c r="D41" s="123">
        <v>4440499.6574999997</v>
      </c>
      <c r="E41" s="149">
        <f t="shared" si="9"/>
        <v>118830.65</v>
      </c>
      <c r="F41" s="123">
        <v>4462090.9074999997</v>
      </c>
      <c r="G41" s="149">
        <f t="shared" si="10"/>
        <v>119405.65</v>
      </c>
      <c r="H41" s="123">
        <v>4483682.1574999997</v>
      </c>
      <c r="I41" s="149">
        <f t="shared" si="11"/>
        <v>118830.65</v>
      </c>
      <c r="J41" s="123">
        <v>4462090.9074999997</v>
      </c>
      <c r="K41" s="19" t="s">
        <v>56</v>
      </c>
      <c r="L41" s="159"/>
    </row>
    <row r="42" spans="1:12">
      <c r="A42" s="110" t="s">
        <v>58</v>
      </c>
      <c r="B42" s="111">
        <v>56.58</v>
      </c>
      <c r="C42" s="146">
        <f t="shared" si="8"/>
        <v>102867.5</v>
      </c>
      <c r="D42" s="113">
        <v>5820243.1500000004</v>
      </c>
      <c r="E42" s="146">
        <f t="shared" si="9"/>
        <v>103442.5</v>
      </c>
      <c r="F42" s="113">
        <v>5852776.6500000004</v>
      </c>
      <c r="G42" s="146">
        <f t="shared" si="10"/>
        <v>104017.5</v>
      </c>
      <c r="H42" s="113">
        <v>5885310.1500000004</v>
      </c>
      <c r="I42" s="146">
        <f t="shared" si="11"/>
        <v>103442.5</v>
      </c>
      <c r="J42" s="113">
        <v>5852776.6500000004</v>
      </c>
      <c r="K42" s="19" t="s">
        <v>56</v>
      </c>
      <c r="L42" s="159"/>
    </row>
    <row r="43" spans="1:12">
      <c r="A43" s="124" t="s">
        <v>59</v>
      </c>
      <c r="B43" s="125">
        <v>58.22</v>
      </c>
      <c r="C43" s="150">
        <f t="shared" si="8"/>
        <v>102350</v>
      </c>
      <c r="D43" s="127">
        <v>5958817</v>
      </c>
      <c r="E43" s="150">
        <f t="shared" si="9"/>
        <v>102925</v>
      </c>
      <c r="F43" s="127">
        <v>5992293.5</v>
      </c>
      <c r="G43" s="150">
        <f t="shared" si="10"/>
        <v>103500</v>
      </c>
      <c r="H43" s="23">
        <v>6025770</v>
      </c>
      <c r="I43" s="147">
        <f t="shared" si="11"/>
        <v>102925</v>
      </c>
      <c r="J43" s="115">
        <v>5992293.5</v>
      </c>
      <c r="K43" s="160" t="s">
        <v>56</v>
      </c>
      <c r="L43" s="159"/>
    </row>
    <row r="44" spans="1:12">
      <c r="A44" s="121" t="s">
        <v>60</v>
      </c>
      <c r="B44" s="128">
        <v>21.6</v>
      </c>
      <c r="C44" s="151">
        <f t="shared" si="8"/>
        <v>164947.95000000001</v>
      </c>
      <c r="D44" s="130">
        <v>3562875.72</v>
      </c>
      <c r="E44" s="151">
        <f t="shared" si="9"/>
        <v>165522.95000000001</v>
      </c>
      <c r="F44" s="130">
        <v>3575295.72</v>
      </c>
      <c r="G44" s="151">
        <f t="shared" si="10"/>
        <v>166097.95000000001</v>
      </c>
      <c r="H44" s="130">
        <v>3587715.72</v>
      </c>
      <c r="I44" s="151">
        <f t="shared" si="11"/>
        <v>165522.95000000001</v>
      </c>
      <c r="J44" s="130">
        <v>3575295.72</v>
      </c>
      <c r="K44" s="36" t="s">
        <v>61</v>
      </c>
      <c r="L44" s="159"/>
    </row>
    <row r="45" spans="1:12">
      <c r="A45" s="110" t="s">
        <v>62</v>
      </c>
      <c r="B45" s="111">
        <v>37.549999999999997</v>
      </c>
      <c r="C45" s="151">
        <f t="shared" si="8"/>
        <v>132635.25</v>
      </c>
      <c r="D45" s="130">
        <v>4980453.6375000002</v>
      </c>
      <c r="E45" s="151">
        <f t="shared" si="9"/>
        <v>133210.25</v>
      </c>
      <c r="F45" s="130">
        <v>5002044.8875000002</v>
      </c>
      <c r="G45" s="151">
        <f t="shared" si="10"/>
        <v>133785.25</v>
      </c>
      <c r="H45" s="130">
        <v>5023636.1375000002</v>
      </c>
      <c r="I45" s="151">
        <f t="shared" si="11"/>
        <v>133210.25</v>
      </c>
      <c r="J45" s="130">
        <v>5002044.8875000002</v>
      </c>
      <c r="K45" s="36" t="s">
        <v>61</v>
      </c>
      <c r="L45" s="162"/>
    </row>
    <row r="46" spans="1:12">
      <c r="A46" s="110" t="s">
        <v>63</v>
      </c>
      <c r="B46" s="111">
        <v>56.58</v>
      </c>
      <c r="C46" s="151">
        <f t="shared" si="8"/>
        <v>114485.95</v>
      </c>
      <c r="D46" s="130">
        <v>6477615.051</v>
      </c>
      <c r="E46" s="151">
        <f t="shared" si="9"/>
        <v>115060.95</v>
      </c>
      <c r="F46" s="130">
        <v>6510148.551</v>
      </c>
      <c r="G46" s="151">
        <f t="shared" si="10"/>
        <v>115635.95</v>
      </c>
      <c r="H46" s="130">
        <v>6542682.051</v>
      </c>
      <c r="I46" s="151">
        <f t="shared" si="11"/>
        <v>115060.95</v>
      </c>
      <c r="J46" s="130">
        <v>6510148.551</v>
      </c>
      <c r="K46" s="36" t="s">
        <v>61</v>
      </c>
      <c r="L46" s="159"/>
    </row>
    <row r="47" spans="1:12">
      <c r="A47" s="124" t="s">
        <v>63</v>
      </c>
      <c r="B47" s="125">
        <v>58.22</v>
      </c>
      <c r="C47" s="150">
        <f t="shared" si="8"/>
        <v>113710.85</v>
      </c>
      <c r="D47" s="127">
        <v>6620245.6869999999</v>
      </c>
      <c r="E47" s="150">
        <f t="shared" si="9"/>
        <v>114860.85</v>
      </c>
      <c r="F47" s="127">
        <v>6687198.6869999999</v>
      </c>
      <c r="G47" s="150">
        <f t="shared" si="10"/>
        <v>114860.85</v>
      </c>
      <c r="H47" s="127">
        <v>6687198.6869999999</v>
      </c>
      <c r="I47" s="150">
        <f t="shared" si="11"/>
        <v>114285.85</v>
      </c>
      <c r="J47" s="23">
        <v>6653722.1869999999</v>
      </c>
      <c r="K47" s="25" t="s">
        <v>61</v>
      </c>
      <c r="L47" s="159"/>
    </row>
    <row r="48" spans="1:12" ht="18.75" customHeight="1">
      <c r="A48" s="121" t="s">
        <v>64</v>
      </c>
      <c r="B48" s="128">
        <v>21.6</v>
      </c>
      <c r="C48" s="151">
        <f t="shared" si="8"/>
        <v>151942.6</v>
      </c>
      <c r="D48" s="130">
        <v>3281960.16</v>
      </c>
      <c r="E48" s="151">
        <f t="shared" si="9"/>
        <v>152517.6</v>
      </c>
      <c r="F48" s="130">
        <v>3294380.16</v>
      </c>
      <c r="G48" s="151">
        <f t="shared" si="10"/>
        <v>153092.6</v>
      </c>
      <c r="H48" s="130">
        <v>3306800.16</v>
      </c>
      <c r="I48" s="151">
        <f t="shared" si="11"/>
        <v>152517.6</v>
      </c>
      <c r="J48" s="130">
        <v>3294380.16</v>
      </c>
      <c r="K48" s="36" t="s">
        <v>65</v>
      </c>
      <c r="L48" s="159"/>
    </row>
    <row r="49" spans="1:12">
      <c r="A49" s="110" t="s">
        <v>66</v>
      </c>
      <c r="B49" s="111">
        <v>37.549999999999997</v>
      </c>
      <c r="C49" s="151">
        <f t="shared" si="8"/>
        <v>124381.7</v>
      </c>
      <c r="D49" s="130">
        <v>4670532.835</v>
      </c>
      <c r="E49" s="151">
        <f t="shared" si="9"/>
        <v>124956.7</v>
      </c>
      <c r="F49" s="130">
        <v>4692124.085</v>
      </c>
      <c r="G49" s="151">
        <f t="shared" si="10"/>
        <v>125531.7</v>
      </c>
      <c r="H49" s="130">
        <v>4713715.335</v>
      </c>
      <c r="I49" s="151">
        <f t="shared" si="11"/>
        <v>124956.7</v>
      </c>
      <c r="J49" s="130">
        <v>4692124.085</v>
      </c>
      <c r="K49" s="36" t="s">
        <v>65</v>
      </c>
      <c r="L49" s="159"/>
    </row>
    <row r="50" spans="1:12">
      <c r="A50" s="110" t="s">
        <v>67</v>
      </c>
      <c r="B50" s="111">
        <v>56.58</v>
      </c>
      <c r="C50" s="151">
        <f t="shared" si="8"/>
        <v>108984.35</v>
      </c>
      <c r="D50" s="130">
        <v>6166334.523</v>
      </c>
      <c r="E50" s="151">
        <f t="shared" si="9"/>
        <v>109559.35</v>
      </c>
      <c r="F50" s="130">
        <v>6198868.023</v>
      </c>
      <c r="G50" s="151">
        <f t="shared" si="10"/>
        <v>110134.35</v>
      </c>
      <c r="H50" s="130">
        <v>6231401.523</v>
      </c>
      <c r="I50" s="151">
        <f t="shared" si="11"/>
        <v>109559.35</v>
      </c>
      <c r="J50" s="130">
        <v>6198868.023</v>
      </c>
      <c r="K50" s="36" t="s">
        <v>65</v>
      </c>
      <c r="L50" s="159"/>
    </row>
    <row r="51" spans="1:12">
      <c r="A51" s="124" t="s">
        <v>67</v>
      </c>
      <c r="B51" s="125">
        <v>58.22</v>
      </c>
      <c r="C51" s="150">
        <f t="shared" si="8"/>
        <v>108323.1</v>
      </c>
      <c r="D51" s="127">
        <v>6306570.8820000002</v>
      </c>
      <c r="E51" s="150">
        <f t="shared" si="9"/>
        <v>108898.1</v>
      </c>
      <c r="F51" s="127">
        <v>6340047.3820000002</v>
      </c>
      <c r="G51" s="150">
        <f t="shared" si="10"/>
        <v>109473.1</v>
      </c>
      <c r="H51" s="127">
        <v>6373523.8820000002</v>
      </c>
      <c r="I51" s="150">
        <f t="shared" si="11"/>
        <v>108898.1</v>
      </c>
      <c r="J51" s="23">
        <v>6340047.3820000002</v>
      </c>
      <c r="K51" s="25" t="s">
        <v>65</v>
      </c>
      <c r="L51" s="159"/>
    </row>
    <row r="52" spans="1:12">
      <c r="A52" s="121" t="s">
        <v>68</v>
      </c>
      <c r="B52" s="128">
        <v>21.6</v>
      </c>
      <c r="C52" s="151">
        <f t="shared" si="8"/>
        <v>151942.6</v>
      </c>
      <c r="D52" s="130">
        <v>3281960.16</v>
      </c>
      <c r="E52" s="151">
        <f t="shared" si="9"/>
        <v>152517.6</v>
      </c>
      <c r="F52" s="130">
        <v>3294380.16</v>
      </c>
      <c r="G52" s="151">
        <f t="shared" si="10"/>
        <v>153092.6</v>
      </c>
      <c r="H52" s="130">
        <v>3306800.16</v>
      </c>
      <c r="I52" s="151">
        <f t="shared" si="11"/>
        <v>152517.6</v>
      </c>
      <c r="J52" s="130">
        <v>3294380.16</v>
      </c>
      <c r="K52" s="36" t="s">
        <v>69</v>
      </c>
      <c r="L52" s="159"/>
    </row>
    <row r="53" spans="1:12">
      <c r="A53" s="110" t="s">
        <v>70</v>
      </c>
      <c r="B53" s="111">
        <v>37.549999999999997</v>
      </c>
      <c r="C53" s="151">
        <f t="shared" si="8"/>
        <v>130507.75</v>
      </c>
      <c r="D53" s="130">
        <v>4900566.0125000002</v>
      </c>
      <c r="E53" s="151">
        <f t="shared" si="9"/>
        <v>131081.60000000001</v>
      </c>
      <c r="F53" s="130">
        <v>4922114.08</v>
      </c>
      <c r="G53" s="151">
        <f t="shared" si="10"/>
        <v>131656.6</v>
      </c>
      <c r="H53" s="130">
        <v>4943705.33</v>
      </c>
      <c r="I53" s="151">
        <f t="shared" si="11"/>
        <v>131081.60000000001</v>
      </c>
      <c r="J53" s="130">
        <v>4922114.08</v>
      </c>
      <c r="K53" s="36" t="s">
        <v>71</v>
      </c>
      <c r="L53" s="162"/>
    </row>
    <row r="54" spans="1:12">
      <c r="A54" s="110" t="s">
        <v>72</v>
      </c>
      <c r="B54" s="111">
        <v>56.58</v>
      </c>
      <c r="C54" s="151">
        <f t="shared" si="8"/>
        <v>112013.45</v>
      </c>
      <c r="D54" s="130">
        <v>6337721.0010000002</v>
      </c>
      <c r="E54" s="151">
        <f t="shared" si="9"/>
        <v>112588.45</v>
      </c>
      <c r="F54" s="130">
        <v>6370254.5010000002</v>
      </c>
      <c r="G54" s="151">
        <f t="shared" si="10"/>
        <v>113163.45</v>
      </c>
      <c r="H54" s="130">
        <v>6402788.0010000002</v>
      </c>
      <c r="I54" s="151">
        <f t="shared" si="11"/>
        <v>112588.45</v>
      </c>
      <c r="J54" s="130">
        <v>6370254.5010000002</v>
      </c>
      <c r="K54" s="36" t="s">
        <v>71</v>
      </c>
      <c r="L54" s="159"/>
    </row>
    <row r="55" spans="1:12" ht="16.5" customHeight="1">
      <c r="A55" s="124" t="s">
        <v>72</v>
      </c>
      <c r="B55" s="125">
        <v>58.22</v>
      </c>
      <c r="C55" s="150">
        <f t="shared" si="8"/>
        <v>111238.35</v>
      </c>
      <c r="D55" s="127">
        <v>6476296.7369999997</v>
      </c>
      <c r="E55" s="150">
        <f t="shared" si="9"/>
        <v>111813.35</v>
      </c>
      <c r="F55" s="127">
        <v>6509773.2369999997</v>
      </c>
      <c r="G55" s="150">
        <f t="shared" si="10"/>
        <v>112388.35</v>
      </c>
      <c r="H55" s="127">
        <v>6543249.7369999997</v>
      </c>
      <c r="I55" s="150">
        <f t="shared" si="11"/>
        <v>111813.35</v>
      </c>
      <c r="J55" s="23">
        <v>6509773.2369999997</v>
      </c>
      <c r="K55" s="25" t="s">
        <v>71</v>
      </c>
      <c r="L55" s="159"/>
    </row>
    <row r="56" spans="1:12">
      <c r="A56" s="121" t="s">
        <v>73</v>
      </c>
      <c r="B56" s="131">
        <v>21.6</v>
      </c>
      <c r="C56" s="152">
        <f t="shared" si="8"/>
        <v>162590.45000000001</v>
      </c>
      <c r="D56" s="133">
        <v>3511953.72</v>
      </c>
      <c r="E56" s="152">
        <f t="shared" si="9"/>
        <v>163165.45000000001</v>
      </c>
      <c r="F56" s="133">
        <v>3524373.72</v>
      </c>
      <c r="G56" s="148">
        <f t="shared" si="10"/>
        <v>163740.45000000001</v>
      </c>
      <c r="H56" s="130">
        <v>3536793.72</v>
      </c>
      <c r="I56" s="152">
        <f t="shared" si="11"/>
        <v>163165.45000000001</v>
      </c>
      <c r="J56" s="141">
        <v>3524373.72</v>
      </c>
      <c r="K56" s="163" t="s">
        <v>71</v>
      </c>
      <c r="L56" s="159"/>
    </row>
    <row r="57" spans="1:12">
      <c r="A57" s="110" t="s">
        <v>74</v>
      </c>
      <c r="B57" s="134">
        <v>37.549999999999997</v>
      </c>
      <c r="C57" s="32">
        <f t="shared" si="8"/>
        <v>130507.75</v>
      </c>
      <c r="D57" s="133">
        <v>4900566.0125000002</v>
      </c>
      <c r="E57" s="32">
        <f t="shared" si="9"/>
        <v>131082.75</v>
      </c>
      <c r="F57" s="133">
        <v>4922157.2625000002</v>
      </c>
      <c r="G57" s="151">
        <f t="shared" si="10"/>
        <v>131656.6</v>
      </c>
      <c r="H57" s="130">
        <v>4943705.33</v>
      </c>
      <c r="I57" s="32">
        <f t="shared" si="11"/>
        <v>131081.60000000001</v>
      </c>
      <c r="J57" s="35">
        <v>4922114.08</v>
      </c>
      <c r="K57" s="163" t="s">
        <v>71</v>
      </c>
      <c r="L57" s="162"/>
    </row>
    <row r="58" spans="1:12">
      <c r="A58" s="110" t="s">
        <v>75</v>
      </c>
      <c r="B58" s="134">
        <v>56.58</v>
      </c>
      <c r="C58" s="32">
        <f t="shared" si="8"/>
        <v>112013.45</v>
      </c>
      <c r="D58" s="133">
        <v>6337721.0010000002</v>
      </c>
      <c r="E58" s="32">
        <f t="shared" si="9"/>
        <v>112588.45</v>
      </c>
      <c r="F58" s="133">
        <v>6370254.5010000002</v>
      </c>
      <c r="G58" s="151">
        <f t="shared" si="10"/>
        <v>113163.45</v>
      </c>
      <c r="H58" s="130">
        <v>6402788.0010000002</v>
      </c>
      <c r="I58" s="32">
        <f t="shared" si="11"/>
        <v>112588.45</v>
      </c>
      <c r="J58" s="35">
        <v>6370254.5010000002</v>
      </c>
      <c r="K58" s="163" t="s">
        <v>71</v>
      </c>
      <c r="L58" s="159"/>
    </row>
    <row r="59" spans="1:12">
      <c r="A59" s="124" t="s">
        <v>75</v>
      </c>
      <c r="B59" s="136">
        <v>58.22</v>
      </c>
      <c r="C59" s="22">
        <f t="shared" si="8"/>
        <v>111238.35</v>
      </c>
      <c r="D59" s="138">
        <v>6476296.7369999997</v>
      </c>
      <c r="E59" s="22">
        <f t="shared" si="9"/>
        <v>111813.35</v>
      </c>
      <c r="F59" s="138">
        <v>6509773.2369999997</v>
      </c>
      <c r="G59" s="150">
        <f t="shared" si="10"/>
        <v>112388.35</v>
      </c>
      <c r="H59" s="127">
        <v>6543249.7369999997</v>
      </c>
      <c r="I59" s="22">
        <f t="shared" si="11"/>
        <v>111813.35</v>
      </c>
      <c r="J59" s="23">
        <v>6509773.2369999997</v>
      </c>
      <c r="K59" s="164" t="s">
        <v>71</v>
      </c>
      <c r="L59" s="159"/>
    </row>
    <row r="60" spans="1:12">
      <c r="A60" s="110" t="s">
        <v>76</v>
      </c>
      <c r="B60" s="139">
        <v>35.67</v>
      </c>
      <c r="C60" s="152">
        <f t="shared" si="8"/>
        <v>120889.15</v>
      </c>
      <c r="D60" s="140">
        <v>4312115.9804999996</v>
      </c>
      <c r="E60" s="152">
        <f t="shared" si="9"/>
        <v>121464.15</v>
      </c>
      <c r="F60" s="140">
        <v>4332626.2304999996</v>
      </c>
      <c r="G60" s="148">
        <f t="shared" si="10"/>
        <v>122039.15</v>
      </c>
      <c r="H60" s="141">
        <v>4353136.4804999996</v>
      </c>
      <c r="I60" s="152">
        <f t="shared" si="11"/>
        <v>121464.15</v>
      </c>
      <c r="J60" s="141">
        <v>4332626.2304999996</v>
      </c>
      <c r="K60" s="165" t="s">
        <v>56</v>
      </c>
      <c r="L60" s="159"/>
    </row>
    <row r="61" spans="1:12">
      <c r="A61" s="124" t="s">
        <v>76</v>
      </c>
      <c r="B61" s="142">
        <v>37.090000000000003</v>
      </c>
      <c r="C61" s="153">
        <f t="shared" si="8"/>
        <v>119924.3</v>
      </c>
      <c r="D61" s="144">
        <v>4447992.2869999995</v>
      </c>
      <c r="E61" s="153">
        <f t="shared" si="9"/>
        <v>120499.3</v>
      </c>
      <c r="F61" s="144">
        <v>4469319.0369999995</v>
      </c>
      <c r="G61" s="147">
        <f t="shared" si="10"/>
        <v>121074.3</v>
      </c>
      <c r="H61" s="145">
        <v>4490645.7869999995</v>
      </c>
      <c r="I61" s="153">
        <f t="shared" si="11"/>
        <v>120499.3</v>
      </c>
      <c r="J61" s="145">
        <v>4469319.0369999995</v>
      </c>
      <c r="K61" s="166" t="s">
        <v>56</v>
      </c>
      <c r="L61" s="159"/>
    </row>
    <row r="62" spans="1:12">
      <c r="A62" s="154"/>
      <c r="B62" s="155"/>
      <c r="C62" s="156"/>
      <c r="D62" s="42"/>
      <c r="E62" s="156"/>
      <c r="F62" s="42"/>
      <c r="G62" s="156"/>
      <c r="H62" s="42"/>
      <c r="I62" s="156"/>
      <c r="J62" s="42"/>
      <c r="K62" s="39"/>
    </row>
    <row r="63" spans="1:12" ht="18.75">
      <c r="A63" s="239" t="s">
        <v>122</v>
      </c>
      <c r="B63" s="1"/>
      <c r="C63" s="1"/>
      <c r="D63" s="1"/>
      <c r="E63" s="4"/>
      <c r="F63" s="1"/>
      <c r="G63" s="4"/>
      <c r="H63" s="4"/>
      <c r="I63" s="4"/>
      <c r="J63" s="4"/>
      <c r="K63" s="4"/>
    </row>
    <row r="64" spans="1:12" ht="37.5" customHeight="1">
      <c r="A64" s="107" t="s">
        <v>41</v>
      </c>
      <c r="B64" s="108" t="s">
        <v>42</v>
      </c>
      <c r="C64" s="109" t="s">
        <v>43</v>
      </c>
      <c r="D64" s="108" t="s">
        <v>44</v>
      </c>
      <c r="E64" s="109" t="s">
        <v>45</v>
      </c>
      <c r="F64" s="108" t="s">
        <v>44</v>
      </c>
      <c r="G64" s="109" t="s">
        <v>46</v>
      </c>
      <c r="H64" s="108" t="s">
        <v>44</v>
      </c>
      <c r="I64" s="109" t="s">
        <v>47</v>
      </c>
      <c r="J64" s="108" t="s">
        <v>44</v>
      </c>
      <c r="K64" s="157" t="s">
        <v>48</v>
      </c>
    </row>
    <row r="65" spans="1:11">
      <c r="A65" s="110" t="s">
        <v>49</v>
      </c>
      <c r="B65" s="111">
        <v>56.58</v>
      </c>
      <c r="C65" s="146">
        <f>D65/B65</f>
        <v>107340</v>
      </c>
      <c r="D65" s="113">
        <v>6073297.2000000002</v>
      </c>
      <c r="E65" s="146">
        <f>F65/B65</f>
        <v>107940</v>
      </c>
      <c r="F65" s="113">
        <v>6107245.2000000002</v>
      </c>
      <c r="G65" s="146">
        <f>H65/B65</f>
        <v>108540</v>
      </c>
      <c r="H65" s="113">
        <v>6141193.2000000002</v>
      </c>
      <c r="I65" s="146">
        <f>J65/B65</f>
        <v>107940</v>
      </c>
      <c r="J65" s="113">
        <v>6107245.2000000002</v>
      </c>
      <c r="K65" s="19" t="s">
        <v>50</v>
      </c>
    </row>
    <row r="66" spans="1:11">
      <c r="A66" s="110" t="s">
        <v>49</v>
      </c>
      <c r="B66" s="114">
        <v>58.22</v>
      </c>
      <c r="C66" s="146">
        <f t="shared" ref="C66:C92" si="12">D66/B66</f>
        <v>106800</v>
      </c>
      <c r="D66" s="115">
        <v>6217896</v>
      </c>
      <c r="E66" s="147">
        <f t="shared" ref="E66:E92" si="13">F66/B66</f>
        <v>107400</v>
      </c>
      <c r="F66" s="115">
        <v>6252828</v>
      </c>
      <c r="G66" s="147">
        <f t="shared" ref="G66:G92" si="14">H66/B66</f>
        <v>108000</v>
      </c>
      <c r="H66" s="115">
        <v>6287760</v>
      </c>
      <c r="I66" s="147">
        <f t="shared" ref="I66:I92" si="15">J66/B66</f>
        <v>107400</v>
      </c>
      <c r="J66" s="115">
        <v>6252828</v>
      </c>
      <c r="K66" s="160" t="s">
        <v>50</v>
      </c>
    </row>
    <row r="67" spans="1:11">
      <c r="A67" s="117" t="s">
        <v>51</v>
      </c>
      <c r="B67" s="118">
        <v>21.6</v>
      </c>
      <c r="C67" s="148">
        <f t="shared" si="12"/>
        <v>156970.79999999999</v>
      </c>
      <c r="D67" s="120">
        <v>3390569.28</v>
      </c>
      <c r="E67" s="148">
        <f t="shared" si="13"/>
        <v>157570.79999999999</v>
      </c>
      <c r="F67" s="120">
        <v>3403529.28</v>
      </c>
      <c r="G67" s="148">
        <f t="shared" si="14"/>
        <v>158170.79999999999</v>
      </c>
      <c r="H67" s="120">
        <v>3416489.28</v>
      </c>
      <c r="I67" s="148">
        <f t="shared" si="15"/>
        <v>157570.79999999999</v>
      </c>
      <c r="J67" s="120">
        <v>3403529.28</v>
      </c>
      <c r="K67" s="161" t="s">
        <v>50</v>
      </c>
    </row>
    <row r="68" spans="1:11">
      <c r="A68" s="121" t="s">
        <v>52</v>
      </c>
      <c r="B68" s="111">
        <v>37.549999999999997</v>
      </c>
      <c r="C68" s="149">
        <f t="shared" si="12"/>
        <v>123397.2</v>
      </c>
      <c r="D68" s="123">
        <v>4633564.8600000003</v>
      </c>
      <c r="E68" s="149">
        <f t="shared" si="13"/>
        <v>123997.2</v>
      </c>
      <c r="F68" s="123">
        <v>4656094.8600000003</v>
      </c>
      <c r="G68" s="149">
        <f t="shared" si="14"/>
        <v>124597.2</v>
      </c>
      <c r="H68" s="123">
        <v>4678624.8600000003</v>
      </c>
      <c r="I68" s="149">
        <f t="shared" si="15"/>
        <v>123997.2</v>
      </c>
      <c r="J68" s="123">
        <v>4656094.8600000003</v>
      </c>
      <c r="K68" s="19" t="s">
        <v>50</v>
      </c>
    </row>
    <row r="69" spans="1:11">
      <c r="A69" s="110" t="s">
        <v>53</v>
      </c>
      <c r="B69" s="111">
        <v>56.58</v>
      </c>
      <c r="C69" s="146">
        <f t="shared" si="12"/>
        <v>107340</v>
      </c>
      <c r="D69" s="113">
        <v>6073297.2000000002</v>
      </c>
      <c r="E69" s="146">
        <f t="shared" si="13"/>
        <v>107940</v>
      </c>
      <c r="F69" s="113">
        <v>6107245.2000000002</v>
      </c>
      <c r="G69" s="146">
        <f t="shared" si="14"/>
        <v>108540</v>
      </c>
      <c r="H69" s="113">
        <v>6141193.2000000002</v>
      </c>
      <c r="I69" s="146">
        <f t="shared" si="15"/>
        <v>107940</v>
      </c>
      <c r="J69" s="113">
        <v>6107245.2000000002</v>
      </c>
      <c r="K69" s="19" t="s">
        <v>50</v>
      </c>
    </row>
    <row r="70" spans="1:11">
      <c r="A70" s="124" t="s">
        <v>54</v>
      </c>
      <c r="B70" s="125">
        <v>58.22</v>
      </c>
      <c r="C70" s="150">
        <f t="shared" si="12"/>
        <v>106800</v>
      </c>
      <c r="D70" s="127">
        <v>6217896</v>
      </c>
      <c r="E70" s="150">
        <f t="shared" si="13"/>
        <v>107400</v>
      </c>
      <c r="F70" s="127">
        <v>6252828</v>
      </c>
      <c r="G70" s="150">
        <f t="shared" si="14"/>
        <v>108000</v>
      </c>
      <c r="H70" s="23">
        <v>6287760</v>
      </c>
      <c r="I70" s="147">
        <f t="shared" si="15"/>
        <v>107400</v>
      </c>
      <c r="J70" s="115">
        <v>6252828</v>
      </c>
      <c r="K70" s="160" t="s">
        <v>50</v>
      </c>
    </row>
    <row r="71" spans="1:11">
      <c r="A71" s="117" t="s">
        <v>55</v>
      </c>
      <c r="B71" s="118">
        <v>21.6</v>
      </c>
      <c r="C71" s="148">
        <f t="shared" si="12"/>
        <v>156970.79999999999</v>
      </c>
      <c r="D71" s="120">
        <v>3390569.28</v>
      </c>
      <c r="E71" s="148">
        <f t="shared" si="13"/>
        <v>157570.79999999999</v>
      </c>
      <c r="F71" s="120">
        <v>3403529.28</v>
      </c>
      <c r="G71" s="148">
        <f t="shared" si="14"/>
        <v>158170.79999999999</v>
      </c>
      <c r="H71" s="120">
        <v>3416489.28</v>
      </c>
      <c r="I71" s="148">
        <f t="shared" si="15"/>
        <v>157570.79999999999</v>
      </c>
      <c r="J71" s="120">
        <v>3403529.28</v>
      </c>
      <c r="K71" s="161" t="s">
        <v>56</v>
      </c>
    </row>
    <row r="72" spans="1:11">
      <c r="A72" s="121" t="s">
        <v>57</v>
      </c>
      <c r="B72" s="111">
        <v>37.549999999999997</v>
      </c>
      <c r="C72" s="149">
        <f t="shared" si="12"/>
        <v>123397.2</v>
      </c>
      <c r="D72" s="123">
        <v>4633564.8600000003</v>
      </c>
      <c r="E72" s="149">
        <f t="shared" si="13"/>
        <v>123997.2</v>
      </c>
      <c r="F72" s="123">
        <v>4656094.8600000003</v>
      </c>
      <c r="G72" s="149">
        <f t="shared" si="14"/>
        <v>124597.2</v>
      </c>
      <c r="H72" s="123">
        <v>4678624.8600000003</v>
      </c>
      <c r="I72" s="149">
        <f t="shared" si="15"/>
        <v>123997.2</v>
      </c>
      <c r="J72" s="123">
        <v>4656094.8600000003</v>
      </c>
      <c r="K72" s="19" t="s">
        <v>56</v>
      </c>
    </row>
    <row r="73" spans="1:11">
      <c r="A73" s="110" t="s">
        <v>58</v>
      </c>
      <c r="B73" s="111">
        <v>56.58</v>
      </c>
      <c r="C73" s="146">
        <f t="shared" si="12"/>
        <v>107340</v>
      </c>
      <c r="D73" s="113">
        <v>6073297.2000000002</v>
      </c>
      <c r="E73" s="146">
        <f t="shared" si="13"/>
        <v>107940</v>
      </c>
      <c r="F73" s="113">
        <v>6107245.2000000002</v>
      </c>
      <c r="G73" s="146">
        <f t="shared" si="14"/>
        <v>108540</v>
      </c>
      <c r="H73" s="113">
        <v>6141193.2000000002</v>
      </c>
      <c r="I73" s="146">
        <f t="shared" si="15"/>
        <v>107940</v>
      </c>
      <c r="J73" s="113">
        <v>6107245.2000000002</v>
      </c>
      <c r="K73" s="19" t="s">
        <v>56</v>
      </c>
    </row>
    <row r="74" spans="1:11">
      <c r="A74" s="124" t="s">
        <v>59</v>
      </c>
      <c r="B74" s="125">
        <v>58.22</v>
      </c>
      <c r="C74" s="150">
        <f t="shared" si="12"/>
        <v>106800</v>
      </c>
      <c r="D74" s="127">
        <v>6217896</v>
      </c>
      <c r="E74" s="150">
        <f t="shared" si="13"/>
        <v>107400</v>
      </c>
      <c r="F74" s="127">
        <v>6252828</v>
      </c>
      <c r="G74" s="150">
        <f t="shared" si="14"/>
        <v>108000</v>
      </c>
      <c r="H74" s="23">
        <v>6287760</v>
      </c>
      <c r="I74" s="147">
        <f t="shared" si="15"/>
        <v>107400</v>
      </c>
      <c r="J74" s="115">
        <v>6252828</v>
      </c>
      <c r="K74" s="160" t="s">
        <v>56</v>
      </c>
    </row>
    <row r="75" spans="1:11">
      <c r="A75" s="121" t="s">
        <v>60</v>
      </c>
      <c r="B75" s="128">
        <v>21.6</v>
      </c>
      <c r="C75" s="151">
        <f t="shared" si="12"/>
        <v>172119.6</v>
      </c>
      <c r="D75" s="130">
        <v>3717783.36</v>
      </c>
      <c r="E75" s="151">
        <f t="shared" si="13"/>
        <v>172719.6</v>
      </c>
      <c r="F75" s="130">
        <v>3730743.36</v>
      </c>
      <c r="G75" s="151">
        <f t="shared" si="14"/>
        <v>173319.6</v>
      </c>
      <c r="H75" s="130">
        <v>3743703.36</v>
      </c>
      <c r="I75" s="151">
        <f t="shared" si="15"/>
        <v>172719.6</v>
      </c>
      <c r="J75" s="130">
        <v>3730743.36</v>
      </c>
      <c r="K75" s="36" t="s">
        <v>61</v>
      </c>
    </row>
    <row r="76" spans="1:11">
      <c r="A76" s="110" t="s">
        <v>62</v>
      </c>
      <c r="B76" s="111">
        <v>37.549999999999997</v>
      </c>
      <c r="C76" s="151">
        <f t="shared" si="12"/>
        <v>138402</v>
      </c>
      <c r="D76" s="130">
        <v>5196995.0999999996</v>
      </c>
      <c r="E76" s="151">
        <f t="shared" si="13"/>
        <v>139002</v>
      </c>
      <c r="F76" s="130">
        <v>5219525.0999999996</v>
      </c>
      <c r="G76" s="151">
        <f t="shared" si="14"/>
        <v>139602</v>
      </c>
      <c r="H76" s="130">
        <v>5242055.0999999996</v>
      </c>
      <c r="I76" s="151">
        <f t="shared" si="15"/>
        <v>139002</v>
      </c>
      <c r="J76" s="130">
        <v>5219525.0999999996</v>
      </c>
      <c r="K76" s="36" t="s">
        <v>61</v>
      </c>
    </row>
    <row r="77" spans="1:11">
      <c r="A77" s="110" t="s">
        <v>63</v>
      </c>
      <c r="B77" s="111">
        <v>56.58</v>
      </c>
      <c r="C77" s="151">
        <f t="shared" si="12"/>
        <v>119463.6</v>
      </c>
      <c r="D77" s="130">
        <v>6759250.4879999999</v>
      </c>
      <c r="E77" s="151">
        <f t="shared" si="13"/>
        <v>120063.6</v>
      </c>
      <c r="F77" s="130">
        <v>6793198.4879999999</v>
      </c>
      <c r="G77" s="151">
        <f t="shared" si="14"/>
        <v>120663.6</v>
      </c>
      <c r="H77" s="130">
        <v>6827146.4879999999</v>
      </c>
      <c r="I77" s="151">
        <f t="shared" si="15"/>
        <v>120063.6</v>
      </c>
      <c r="J77" s="130">
        <v>6793198.4879999999</v>
      </c>
      <c r="K77" s="36" t="s">
        <v>61</v>
      </c>
    </row>
    <row r="78" spans="1:11">
      <c r="A78" s="124" t="s">
        <v>63</v>
      </c>
      <c r="B78" s="125">
        <v>58.22</v>
      </c>
      <c r="C78" s="150">
        <f t="shared" si="12"/>
        <v>118654.8</v>
      </c>
      <c r="D78" s="127">
        <v>6908082.4560000002</v>
      </c>
      <c r="E78" s="150">
        <f t="shared" si="13"/>
        <v>119854.8</v>
      </c>
      <c r="F78" s="127">
        <v>6977946.4560000002</v>
      </c>
      <c r="G78" s="150">
        <f t="shared" si="14"/>
        <v>119854.8</v>
      </c>
      <c r="H78" s="127">
        <v>6977946.4560000002</v>
      </c>
      <c r="I78" s="150">
        <f t="shared" si="15"/>
        <v>119254.8</v>
      </c>
      <c r="J78" s="23">
        <v>6943014.4560000002</v>
      </c>
      <c r="K78" s="25" t="s">
        <v>61</v>
      </c>
    </row>
    <row r="79" spans="1:11">
      <c r="A79" s="121" t="s">
        <v>64</v>
      </c>
      <c r="B79" s="128">
        <v>21.6</v>
      </c>
      <c r="C79" s="151">
        <f t="shared" si="12"/>
        <v>158548.79999999999</v>
      </c>
      <c r="D79" s="130">
        <v>3424654.08</v>
      </c>
      <c r="E79" s="151">
        <f t="shared" si="13"/>
        <v>159148.79999999999</v>
      </c>
      <c r="F79" s="130">
        <v>3437614.08</v>
      </c>
      <c r="G79" s="151">
        <f t="shared" si="14"/>
        <v>159748.79999999999</v>
      </c>
      <c r="H79" s="130">
        <v>3450574.08</v>
      </c>
      <c r="I79" s="151">
        <f t="shared" si="15"/>
        <v>159148.79999999999</v>
      </c>
      <c r="J79" s="130">
        <v>3437614.08</v>
      </c>
      <c r="K79" s="36" t="s">
        <v>65</v>
      </c>
    </row>
    <row r="80" spans="1:11">
      <c r="A80" s="110" t="s">
        <v>66</v>
      </c>
      <c r="B80" s="111">
        <v>37.549999999999997</v>
      </c>
      <c r="C80" s="151">
        <f t="shared" si="12"/>
        <v>129789.6</v>
      </c>
      <c r="D80" s="130">
        <v>4873599.4800000004</v>
      </c>
      <c r="E80" s="151">
        <f t="shared" si="13"/>
        <v>130389.6</v>
      </c>
      <c r="F80" s="130">
        <v>4896129.4800000004</v>
      </c>
      <c r="G80" s="151">
        <f t="shared" si="14"/>
        <v>130989.6</v>
      </c>
      <c r="H80" s="130">
        <v>4918659.4800000004</v>
      </c>
      <c r="I80" s="151">
        <f t="shared" si="15"/>
        <v>130389.6</v>
      </c>
      <c r="J80" s="130">
        <v>4896129.4800000004</v>
      </c>
      <c r="K80" s="36" t="s">
        <v>65</v>
      </c>
    </row>
    <row r="81" spans="1:11">
      <c r="A81" s="110" t="s">
        <v>67</v>
      </c>
      <c r="B81" s="111">
        <v>56.58</v>
      </c>
      <c r="C81" s="151">
        <f t="shared" si="12"/>
        <v>113722.8</v>
      </c>
      <c r="D81" s="130">
        <v>6434436.0240000002</v>
      </c>
      <c r="E81" s="151">
        <f t="shared" si="13"/>
        <v>114322.8</v>
      </c>
      <c r="F81" s="130">
        <v>6468384.0240000002</v>
      </c>
      <c r="G81" s="151">
        <f t="shared" si="14"/>
        <v>114922.8</v>
      </c>
      <c r="H81" s="130">
        <v>6502332.0240000002</v>
      </c>
      <c r="I81" s="151">
        <f t="shared" si="15"/>
        <v>114322.8</v>
      </c>
      <c r="J81" s="130">
        <v>6468384.0240000002</v>
      </c>
      <c r="K81" s="36" t="s">
        <v>65</v>
      </c>
    </row>
    <row r="82" spans="1:11">
      <c r="A82" s="124" t="s">
        <v>67</v>
      </c>
      <c r="B82" s="125">
        <v>58.22</v>
      </c>
      <c r="C82" s="150">
        <f t="shared" si="12"/>
        <v>113032.8</v>
      </c>
      <c r="D82" s="127">
        <v>6580769.6160000004</v>
      </c>
      <c r="E82" s="150">
        <f t="shared" si="13"/>
        <v>113632.8</v>
      </c>
      <c r="F82" s="127">
        <v>6615701.6160000004</v>
      </c>
      <c r="G82" s="150">
        <f t="shared" si="14"/>
        <v>114232.8</v>
      </c>
      <c r="H82" s="127">
        <v>6650633.6160000004</v>
      </c>
      <c r="I82" s="150">
        <f t="shared" si="15"/>
        <v>113632.8</v>
      </c>
      <c r="J82" s="23">
        <v>6615701.6160000004</v>
      </c>
      <c r="K82" s="25" t="s">
        <v>65</v>
      </c>
    </row>
    <row r="83" spans="1:11">
      <c r="A83" s="121" t="s">
        <v>68</v>
      </c>
      <c r="B83" s="128">
        <v>21.6</v>
      </c>
      <c r="C83" s="151">
        <f t="shared" si="12"/>
        <v>158548.79999999999</v>
      </c>
      <c r="D83" s="130">
        <v>3424654.08</v>
      </c>
      <c r="E83" s="151">
        <f t="shared" si="13"/>
        <v>159148.79999999999</v>
      </c>
      <c r="F83" s="130">
        <v>3437614.08</v>
      </c>
      <c r="G83" s="151">
        <f t="shared" si="14"/>
        <v>159748.79999999999</v>
      </c>
      <c r="H83" s="130">
        <v>3450574.08</v>
      </c>
      <c r="I83" s="151">
        <f t="shared" si="15"/>
        <v>159148.79999999999</v>
      </c>
      <c r="J83" s="130">
        <v>3437614.08</v>
      </c>
      <c r="K83" s="36" t="s">
        <v>69</v>
      </c>
    </row>
    <row r="84" spans="1:11">
      <c r="A84" s="110" t="s">
        <v>70</v>
      </c>
      <c r="B84" s="111">
        <v>37.549999999999997</v>
      </c>
      <c r="C84" s="151">
        <f t="shared" si="12"/>
        <v>136182</v>
      </c>
      <c r="D84" s="130">
        <v>5113634.0999999996</v>
      </c>
      <c r="E84" s="151">
        <f t="shared" si="13"/>
        <v>136780.79999999999</v>
      </c>
      <c r="F84" s="130">
        <v>5136119.04</v>
      </c>
      <c r="G84" s="151">
        <f t="shared" si="14"/>
        <v>137380.79999999999</v>
      </c>
      <c r="H84" s="130">
        <v>5158649.04</v>
      </c>
      <c r="I84" s="151">
        <f t="shared" si="15"/>
        <v>136780.79999999999</v>
      </c>
      <c r="J84" s="130">
        <v>5136119.04</v>
      </c>
      <c r="K84" s="36" t="s">
        <v>71</v>
      </c>
    </row>
    <row r="85" spans="1:11">
      <c r="A85" s="110" t="s">
        <v>72</v>
      </c>
      <c r="B85" s="111">
        <v>56.58</v>
      </c>
      <c r="C85" s="151">
        <f t="shared" si="12"/>
        <v>116883.6</v>
      </c>
      <c r="D85" s="130">
        <v>6613274.0880000005</v>
      </c>
      <c r="E85" s="151">
        <f t="shared" si="13"/>
        <v>117483.6</v>
      </c>
      <c r="F85" s="130">
        <v>6647222.0880000005</v>
      </c>
      <c r="G85" s="151">
        <f t="shared" si="14"/>
        <v>118083.6</v>
      </c>
      <c r="H85" s="130">
        <v>6681170.0880000005</v>
      </c>
      <c r="I85" s="151">
        <f t="shared" si="15"/>
        <v>117483.6</v>
      </c>
      <c r="J85" s="130">
        <v>6647222.0880000005</v>
      </c>
      <c r="K85" s="36" t="s">
        <v>71</v>
      </c>
    </row>
    <row r="86" spans="1:11">
      <c r="A86" s="124" t="s">
        <v>72</v>
      </c>
      <c r="B86" s="125">
        <v>58.22</v>
      </c>
      <c r="C86" s="150">
        <f t="shared" si="12"/>
        <v>116074.8</v>
      </c>
      <c r="D86" s="127">
        <v>6757874.8559999997</v>
      </c>
      <c r="E86" s="150">
        <f t="shared" si="13"/>
        <v>116674.8</v>
      </c>
      <c r="F86" s="127">
        <v>6792806.8559999997</v>
      </c>
      <c r="G86" s="150">
        <f t="shared" si="14"/>
        <v>117274.8</v>
      </c>
      <c r="H86" s="127">
        <v>6827738.8559999997</v>
      </c>
      <c r="I86" s="150">
        <f t="shared" si="15"/>
        <v>116674.8</v>
      </c>
      <c r="J86" s="23">
        <v>6792806.8559999997</v>
      </c>
      <c r="K86" s="25" t="s">
        <v>71</v>
      </c>
    </row>
    <row r="87" spans="1:11">
      <c r="A87" s="121" t="s">
        <v>73</v>
      </c>
      <c r="B87" s="131">
        <v>21.6</v>
      </c>
      <c r="C87" s="152">
        <f t="shared" si="12"/>
        <v>169659.6</v>
      </c>
      <c r="D87" s="133">
        <v>3664647.36</v>
      </c>
      <c r="E87" s="152">
        <f t="shared" si="13"/>
        <v>170259.6</v>
      </c>
      <c r="F87" s="133">
        <v>3677607.36</v>
      </c>
      <c r="G87" s="148">
        <f t="shared" si="14"/>
        <v>170859.6</v>
      </c>
      <c r="H87" s="130">
        <v>3690567.36</v>
      </c>
      <c r="I87" s="152">
        <f t="shared" si="15"/>
        <v>170259.6</v>
      </c>
      <c r="J87" s="141">
        <v>3677607.36</v>
      </c>
      <c r="K87" s="163" t="s">
        <v>71</v>
      </c>
    </row>
    <row r="88" spans="1:11">
      <c r="A88" s="110" t="s">
        <v>74</v>
      </c>
      <c r="B88" s="134">
        <v>37.549999999999997</v>
      </c>
      <c r="C88" s="32">
        <f t="shared" si="12"/>
        <v>136182</v>
      </c>
      <c r="D88" s="133">
        <v>5113634.0999999996</v>
      </c>
      <c r="E88" s="32">
        <f t="shared" si="13"/>
        <v>136782</v>
      </c>
      <c r="F88" s="133">
        <v>5136164.0999999996</v>
      </c>
      <c r="G88" s="151">
        <f t="shared" si="14"/>
        <v>137380.79999999999</v>
      </c>
      <c r="H88" s="130">
        <v>5158649.04</v>
      </c>
      <c r="I88" s="32">
        <f t="shared" si="15"/>
        <v>136780.79999999999</v>
      </c>
      <c r="J88" s="35">
        <v>5136119.04</v>
      </c>
      <c r="K88" s="163" t="s">
        <v>71</v>
      </c>
    </row>
    <row r="89" spans="1:11">
      <c r="A89" s="110" t="s">
        <v>75</v>
      </c>
      <c r="B89" s="134">
        <v>56.58</v>
      </c>
      <c r="C89" s="32">
        <f t="shared" si="12"/>
        <v>116883.6</v>
      </c>
      <c r="D89" s="133">
        <v>6613274.0880000005</v>
      </c>
      <c r="E89" s="32">
        <f t="shared" si="13"/>
        <v>117483.6</v>
      </c>
      <c r="F89" s="133">
        <v>6647222.0880000005</v>
      </c>
      <c r="G89" s="151">
        <f t="shared" si="14"/>
        <v>118083.6</v>
      </c>
      <c r="H89" s="130">
        <v>6681170.0880000005</v>
      </c>
      <c r="I89" s="32">
        <f t="shared" si="15"/>
        <v>117483.6</v>
      </c>
      <c r="J89" s="35">
        <v>6647222.0880000005</v>
      </c>
      <c r="K89" s="163" t="s">
        <v>71</v>
      </c>
    </row>
    <row r="90" spans="1:11">
      <c r="A90" s="124" t="s">
        <v>75</v>
      </c>
      <c r="B90" s="136">
        <v>58.22</v>
      </c>
      <c r="C90" s="22">
        <f t="shared" si="12"/>
        <v>116074.8</v>
      </c>
      <c r="D90" s="138">
        <v>6757874.8559999997</v>
      </c>
      <c r="E90" s="22">
        <f t="shared" si="13"/>
        <v>116674.8</v>
      </c>
      <c r="F90" s="138">
        <v>6792806.8559999997</v>
      </c>
      <c r="G90" s="150">
        <f t="shared" si="14"/>
        <v>117274.8</v>
      </c>
      <c r="H90" s="127">
        <v>6827738.8559999997</v>
      </c>
      <c r="I90" s="22">
        <f t="shared" si="15"/>
        <v>116674.8</v>
      </c>
      <c r="J90" s="23">
        <v>6792806.8559999997</v>
      </c>
      <c r="K90" s="164" t="s">
        <v>71</v>
      </c>
    </row>
    <row r="91" spans="1:11">
      <c r="A91" s="110" t="s">
        <v>76</v>
      </c>
      <c r="B91" s="139">
        <v>35.67</v>
      </c>
      <c r="C91" s="152">
        <f t="shared" si="12"/>
        <v>126145.2</v>
      </c>
      <c r="D91" s="140">
        <v>4499599.284</v>
      </c>
      <c r="E91" s="152">
        <f t="shared" si="13"/>
        <v>126745.2</v>
      </c>
      <c r="F91" s="140">
        <v>4521001.284</v>
      </c>
      <c r="G91" s="148">
        <f t="shared" si="14"/>
        <v>127345.2</v>
      </c>
      <c r="H91" s="141">
        <v>4542403.284</v>
      </c>
      <c r="I91" s="152">
        <f t="shared" si="15"/>
        <v>126745.2</v>
      </c>
      <c r="J91" s="141">
        <v>4521001.284</v>
      </c>
      <c r="K91" s="165" t="s">
        <v>56</v>
      </c>
    </row>
    <row r="92" spans="1:11">
      <c r="A92" s="124" t="s">
        <v>76</v>
      </c>
      <c r="B92" s="142">
        <v>37.090000000000003</v>
      </c>
      <c r="C92" s="153">
        <f t="shared" si="12"/>
        <v>125138.4</v>
      </c>
      <c r="D92" s="144">
        <v>4641383.2560000001</v>
      </c>
      <c r="E92" s="153">
        <f t="shared" si="13"/>
        <v>125738.4</v>
      </c>
      <c r="F92" s="144">
        <v>4663637.2560000001</v>
      </c>
      <c r="G92" s="147">
        <f t="shared" si="14"/>
        <v>126338.4</v>
      </c>
      <c r="H92" s="145">
        <v>4685891.2560000001</v>
      </c>
      <c r="I92" s="153">
        <f t="shared" si="15"/>
        <v>125738.4</v>
      </c>
      <c r="J92" s="145">
        <v>4663637.2560000001</v>
      </c>
      <c r="K92" s="166" t="s">
        <v>56</v>
      </c>
    </row>
    <row r="94" spans="1:11" ht="18.75">
      <c r="A94" s="239" t="s">
        <v>123</v>
      </c>
      <c r="B94" s="1"/>
      <c r="C94" s="1"/>
      <c r="D94" s="1"/>
      <c r="E94" s="4"/>
      <c r="F94" s="1"/>
      <c r="G94" s="4"/>
      <c r="H94" s="4"/>
      <c r="I94" s="4"/>
      <c r="J94" s="4"/>
      <c r="K94" s="4"/>
    </row>
    <row r="95" spans="1:11" ht="37.5" customHeight="1">
      <c r="A95" s="107" t="s">
        <v>41</v>
      </c>
      <c r="B95" s="108" t="s">
        <v>42</v>
      </c>
      <c r="C95" s="109" t="s">
        <v>43</v>
      </c>
      <c r="D95" s="108" t="s">
        <v>44</v>
      </c>
      <c r="E95" s="109" t="s">
        <v>45</v>
      </c>
      <c r="F95" s="108" t="s">
        <v>44</v>
      </c>
      <c r="G95" s="109" t="s">
        <v>46</v>
      </c>
      <c r="H95" s="108" t="s">
        <v>44</v>
      </c>
      <c r="I95" s="109" t="s">
        <v>47</v>
      </c>
      <c r="J95" s="108" t="s">
        <v>44</v>
      </c>
      <c r="K95" s="157" t="s">
        <v>48</v>
      </c>
    </row>
    <row r="96" spans="1:11">
      <c r="A96" s="110" t="s">
        <v>49</v>
      </c>
      <c r="B96" s="111">
        <v>56.58</v>
      </c>
      <c r="C96" s="146">
        <f>D96/B96</f>
        <v>84977.5</v>
      </c>
      <c r="D96" s="113">
        <v>4808026.95</v>
      </c>
      <c r="E96" s="146">
        <f>F96/B96</f>
        <v>85452.5</v>
      </c>
      <c r="F96" s="113">
        <v>4834902.45</v>
      </c>
      <c r="G96" s="146">
        <f>H96/B96</f>
        <v>85927.5</v>
      </c>
      <c r="H96" s="113">
        <v>4861777.95</v>
      </c>
      <c r="I96" s="146">
        <f>J96/B96</f>
        <v>85452.5</v>
      </c>
      <c r="J96" s="113">
        <v>4834902.45</v>
      </c>
      <c r="K96" s="19" t="s">
        <v>50</v>
      </c>
    </row>
    <row r="97" spans="1:11">
      <c r="A97" s="110" t="s">
        <v>49</v>
      </c>
      <c r="B97" s="114">
        <v>58.22</v>
      </c>
      <c r="C97" s="146">
        <f t="shared" ref="C97:C123" si="16">D97/B97</f>
        <v>84550</v>
      </c>
      <c r="D97" s="115">
        <v>4922501</v>
      </c>
      <c r="E97" s="147">
        <f t="shared" ref="E97:E123" si="17">F97/B97</f>
        <v>85025</v>
      </c>
      <c r="F97" s="115">
        <v>4950155.5</v>
      </c>
      <c r="G97" s="147">
        <f t="shared" ref="G97:G123" si="18">H97/B97</f>
        <v>85500</v>
      </c>
      <c r="H97" s="115">
        <v>4977810</v>
      </c>
      <c r="I97" s="147">
        <f t="shared" ref="I97:I123" si="19">J97/B97</f>
        <v>85025</v>
      </c>
      <c r="J97" s="115">
        <v>4950155.5</v>
      </c>
      <c r="K97" s="160" t="s">
        <v>50</v>
      </c>
    </row>
    <row r="98" spans="1:11">
      <c r="A98" s="117" t="s">
        <v>51</v>
      </c>
      <c r="B98" s="118">
        <v>21.6</v>
      </c>
      <c r="C98" s="148">
        <f t="shared" si="16"/>
        <v>124268.55</v>
      </c>
      <c r="D98" s="120">
        <v>2684200.6800000002</v>
      </c>
      <c r="E98" s="148">
        <f t="shared" si="17"/>
        <v>124743.55</v>
      </c>
      <c r="F98" s="120">
        <v>2694460.68</v>
      </c>
      <c r="G98" s="148">
        <f t="shared" si="18"/>
        <v>125218.55</v>
      </c>
      <c r="H98" s="120">
        <v>2704720.68</v>
      </c>
      <c r="I98" s="148">
        <f t="shared" si="19"/>
        <v>124743.55</v>
      </c>
      <c r="J98" s="120">
        <v>2694460.68</v>
      </c>
      <c r="K98" s="161" t="s">
        <v>50</v>
      </c>
    </row>
    <row r="99" spans="1:11">
      <c r="A99" s="121" t="s">
        <v>52</v>
      </c>
      <c r="B99" s="111">
        <v>37.549999999999997</v>
      </c>
      <c r="C99" s="149">
        <f t="shared" si="16"/>
        <v>97689.45</v>
      </c>
      <c r="D99" s="123">
        <v>3668238.8475000001</v>
      </c>
      <c r="E99" s="149">
        <f t="shared" si="17"/>
        <v>98164.45</v>
      </c>
      <c r="F99" s="123">
        <v>3686075.0975000001</v>
      </c>
      <c r="G99" s="149">
        <f t="shared" si="18"/>
        <v>98639.45</v>
      </c>
      <c r="H99" s="123">
        <v>3703911.3475000001</v>
      </c>
      <c r="I99" s="149">
        <f t="shared" si="19"/>
        <v>98164.45</v>
      </c>
      <c r="J99" s="123">
        <v>3686075.0975000001</v>
      </c>
      <c r="K99" s="19" t="s">
        <v>50</v>
      </c>
    </row>
    <row r="100" spans="1:11">
      <c r="A100" s="110" t="s">
        <v>53</v>
      </c>
      <c r="B100" s="111">
        <v>56.58</v>
      </c>
      <c r="C100" s="146">
        <f t="shared" si="16"/>
        <v>84977.5</v>
      </c>
      <c r="D100" s="113">
        <v>4808026.95</v>
      </c>
      <c r="E100" s="146">
        <f t="shared" si="17"/>
        <v>85452.5</v>
      </c>
      <c r="F100" s="113">
        <v>4834902.45</v>
      </c>
      <c r="G100" s="146">
        <f t="shared" si="18"/>
        <v>85927.5</v>
      </c>
      <c r="H100" s="113">
        <v>4861777.95</v>
      </c>
      <c r="I100" s="146">
        <f t="shared" si="19"/>
        <v>85452.5</v>
      </c>
      <c r="J100" s="113">
        <v>4834902.45</v>
      </c>
      <c r="K100" s="19" t="s">
        <v>50</v>
      </c>
    </row>
    <row r="101" spans="1:11">
      <c r="A101" s="124" t="s">
        <v>54</v>
      </c>
      <c r="B101" s="125">
        <v>58.22</v>
      </c>
      <c r="C101" s="150">
        <f t="shared" si="16"/>
        <v>84550</v>
      </c>
      <c r="D101" s="127">
        <v>4922501</v>
      </c>
      <c r="E101" s="150">
        <f t="shared" si="17"/>
        <v>85025</v>
      </c>
      <c r="F101" s="127">
        <v>4950155.5</v>
      </c>
      <c r="G101" s="150">
        <f t="shared" si="18"/>
        <v>85500</v>
      </c>
      <c r="H101" s="23">
        <v>4977810</v>
      </c>
      <c r="I101" s="147">
        <f t="shared" si="19"/>
        <v>85025</v>
      </c>
      <c r="J101" s="115">
        <v>4950155.5</v>
      </c>
      <c r="K101" s="160" t="s">
        <v>50</v>
      </c>
    </row>
    <row r="102" spans="1:11">
      <c r="A102" s="117" t="s">
        <v>55</v>
      </c>
      <c r="B102" s="118">
        <v>21.6</v>
      </c>
      <c r="C102" s="148">
        <f t="shared" si="16"/>
        <v>124268.55</v>
      </c>
      <c r="D102" s="120">
        <v>2684200.6800000002</v>
      </c>
      <c r="E102" s="148">
        <f t="shared" si="17"/>
        <v>124743.55</v>
      </c>
      <c r="F102" s="120">
        <v>2694460.68</v>
      </c>
      <c r="G102" s="148">
        <f t="shared" si="18"/>
        <v>125218.55</v>
      </c>
      <c r="H102" s="120">
        <v>2704720.68</v>
      </c>
      <c r="I102" s="148">
        <f t="shared" si="19"/>
        <v>124743.55</v>
      </c>
      <c r="J102" s="120">
        <v>2694460.68</v>
      </c>
      <c r="K102" s="161" t="s">
        <v>56</v>
      </c>
    </row>
    <row r="103" spans="1:11">
      <c r="A103" s="121" t="s">
        <v>57</v>
      </c>
      <c r="B103" s="111">
        <v>37.549999999999997</v>
      </c>
      <c r="C103" s="149">
        <f t="shared" si="16"/>
        <v>97689.45</v>
      </c>
      <c r="D103" s="123">
        <v>3668238.8475000001</v>
      </c>
      <c r="E103" s="149">
        <f t="shared" si="17"/>
        <v>98164.45</v>
      </c>
      <c r="F103" s="123">
        <v>3686075.0975000001</v>
      </c>
      <c r="G103" s="149">
        <f t="shared" si="18"/>
        <v>98639.45</v>
      </c>
      <c r="H103" s="123">
        <v>3703911.3475000001</v>
      </c>
      <c r="I103" s="149">
        <f t="shared" si="19"/>
        <v>98164.45</v>
      </c>
      <c r="J103" s="123">
        <v>3686075.0975000001</v>
      </c>
      <c r="K103" s="19" t="s">
        <v>56</v>
      </c>
    </row>
    <row r="104" spans="1:11">
      <c r="A104" s="110" t="s">
        <v>58</v>
      </c>
      <c r="B104" s="111">
        <v>56.58</v>
      </c>
      <c r="C104" s="146">
        <f t="shared" si="16"/>
        <v>84977.5</v>
      </c>
      <c r="D104" s="113">
        <v>4808026.95</v>
      </c>
      <c r="E104" s="146">
        <f t="shared" si="17"/>
        <v>85452.5</v>
      </c>
      <c r="F104" s="113">
        <v>4834902.45</v>
      </c>
      <c r="G104" s="146">
        <f t="shared" si="18"/>
        <v>85927.5</v>
      </c>
      <c r="H104" s="113">
        <v>4861777.95</v>
      </c>
      <c r="I104" s="146">
        <f t="shared" si="19"/>
        <v>85452.5</v>
      </c>
      <c r="J104" s="113">
        <v>4834902.45</v>
      </c>
      <c r="K104" s="19" t="s">
        <v>56</v>
      </c>
    </row>
    <row r="105" spans="1:11">
      <c r="A105" s="124" t="s">
        <v>59</v>
      </c>
      <c r="B105" s="125">
        <v>58.22</v>
      </c>
      <c r="C105" s="150">
        <f t="shared" si="16"/>
        <v>84550</v>
      </c>
      <c r="D105" s="127">
        <v>4922501</v>
      </c>
      <c r="E105" s="150">
        <f t="shared" si="17"/>
        <v>85025</v>
      </c>
      <c r="F105" s="127">
        <v>4950155.5</v>
      </c>
      <c r="G105" s="150">
        <f t="shared" si="18"/>
        <v>85500</v>
      </c>
      <c r="H105" s="23">
        <v>4977810</v>
      </c>
      <c r="I105" s="147">
        <f t="shared" si="19"/>
        <v>85025</v>
      </c>
      <c r="J105" s="115">
        <v>4950155.5</v>
      </c>
      <c r="K105" s="160" t="s">
        <v>56</v>
      </c>
    </row>
    <row r="106" spans="1:11">
      <c r="A106" s="121" t="s">
        <v>60</v>
      </c>
      <c r="B106" s="128">
        <v>21.6</v>
      </c>
      <c r="C106" s="151">
        <f t="shared" si="16"/>
        <v>136261.35</v>
      </c>
      <c r="D106" s="130">
        <v>2943245.16</v>
      </c>
      <c r="E106" s="151">
        <f t="shared" si="17"/>
        <v>136736.35</v>
      </c>
      <c r="F106" s="130">
        <v>2953505.16</v>
      </c>
      <c r="G106" s="151">
        <f t="shared" si="18"/>
        <v>137211.35</v>
      </c>
      <c r="H106" s="130">
        <v>2963765.16</v>
      </c>
      <c r="I106" s="151">
        <f t="shared" si="19"/>
        <v>136736.35</v>
      </c>
      <c r="J106" s="130">
        <v>2953505.16</v>
      </c>
      <c r="K106" s="36" t="s">
        <v>61</v>
      </c>
    </row>
    <row r="107" spans="1:11">
      <c r="A107" s="110" t="s">
        <v>62</v>
      </c>
      <c r="B107" s="111">
        <v>37.549999999999997</v>
      </c>
      <c r="C107" s="151">
        <f t="shared" si="16"/>
        <v>109568.25</v>
      </c>
      <c r="D107" s="130">
        <v>4114287.7875000001</v>
      </c>
      <c r="E107" s="151">
        <f t="shared" si="17"/>
        <v>110043.25</v>
      </c>
      <c r="F107" s="130">
        <v>4132124.0375000001</v>
      </c>
      <c r="G107" s="151">
        <f t="shared" si="18"/>
        <v>110518.25</v>
      </c>
      <c r="H107" s="130">
        <v>4149960.2875000001</v>
      </c>
      <c r="I107" s="151">
        <f t="shared" si="19"/>
        <v>110043.25</v>
      </c>
      <c r="J107" s="130">
        <v>4132124.0375000001</v>
      </c>
      <c r="K107" s="36" t="s">
        <v>61</v>
      </c>
    </row>
    <row r="108" spans="1:11">
      <c r="A108" s="110" t="s">
        <v>63</v>
      </c>
      <c r="B108" s="111">
        <v>56.58</v>
      </c>
      <c r="C108" s="151">
        <f t="shared" si="16"/>
        <v>94575.35</v>
      </c>
      <c r="D108" s="130">
        <v>5351073.3030000003</v>
      </c>
      <c r="E108" s="151">
        <f t="shared" si="17"/>
        <v>95050.35</v>
      </c>
      <c r="F108" s="130">
        <v>5377948.8030000003</v>
      </c>
      <c r="G108" s="151">
        <f t="shared" si="18"/>
        <v>95525.35</v>
      </c>
      <c r="H108" s="130">
        <v>5404824.3030000003</v>
      </c>
      <c r="I108" s="151">
        <f t="shared" si="19"/>
        <v>95050.35</v>
      </c>
      <c r="J108" s="130">
        <v>5377948.8030000003</v>
      </c>
      <c r="K108" s="36" t="s">
        <v>61</v>
      </c>
    </row>
    <row r="109" spans="1:11">
      <c r="A109" s="124" t="s">
        <v>63</v>
      </c>
      <c r="B109" s="125">
        <v>58.22</v>
      </c>
      <c r="C109" s="150">
        <f t="shared" si="16"/>
        <v>93935.05</v>
      </c>
      <c r="D109" s="127">
        <v>5468898.6109999996</v>
      </c>
      <c r="E109" s="150">
        <f t="shared" si="17"/>
        <v>94885.05</v>
      </c>
      <c r="F109" s="127">
        <v>5524207.6109999996</v>
      </c>
      <c r="G109" s="150">
        <f t="shared" si="18"/>
        <v>94885.05</v>
      </c>
      <c r="H109" s="127">
        <v>5524207.6109999996</v>
      </c>
      <c r="I109" s="150">
        <f t="shared" si="19"/>
        <v>94410.05</v>
      </c>
      <c r="J109" s="23">
        <v>5496553.1109999996</v>
      </c>
      <c r="K109" s="25" t="s">
        <v>61</v>
      </c>
    </row>
    <row r="110" spans="1:11">
      <c r="A110" s="121" t="s">
        <v>64</v>
      </c>
      <c r="B110" s="128">
        <v>21.6</v>
      </c>
      <c r="C110" s="151">
        <f t="shared" si="16"/>
        <v>125517.8</v>
      </c>
      <c r="D110" s="130">
        <v>2711184.48</v>
      </c>
      <c r="E110" s="151">
        <f t="shared" si="17"/>
        <v>125992.8</v>
      </c>
      <c r="F110" s="130">
        <v>2721444.48</v>
      </c>
      <c r="G110" s="151">
        <f t="shared" si="18"/>
        <v>126467.8</v>
      </c>
      <c r="H110" s="130">
        <v>2731704.48</v>
      </c>
      <c r="I110" s="151">
        <f t="shared" si="19"/>
        <v>125992.8</v>
      </c>
      <c r="J110" s="130">
        <v>2721444.48</v>
      </c>
      <c r="K110" s="36" t="s">
        <v>65</v>
      </c>
    </row>
    <row r="111" spans="1:11">
      <c r="A111" s="110" t="s">
        <v>66</v>
      </c>
      <c r="B111" s="111">
        <v>37.549999999999997</v>
      </c>
      <c r="C111" s="151">
        <f t="shared" si="16"/>
        <v>102750.1</v>
      </c>
      <c r="D111" s="130">
        <v>3858266.2549999999</v>
      </c>
      <c r="E111" s="151">
        <f t="shared" si="17"/>
        <v>103225.1</v>
      </c>
      <c r="F111" s="130">
        <v>3876102.5049999999</v>
      </c>
      <c r="G111" s="151">
        <f t="shared" si="18"/>
        <v>103700.1</v>
      </c>
      <c r="H111" s="130">
        <v>3893938.7549999999</v>
      </c>
      <c r="I111" s="151">
        <f t="shared" si="19"/>
        <v>103225.1</v>
      </c>
      <c r="J111" s="130">
        <v>3876102.5049999999</v>
      </c>
      <c r="K111" s="36" t="s">
        <v>65</v>
      </c>
    </row>
    <row r="112" spans="1:11">
      <c r="A112" s="110" t="s">
        <v>67</v>
      </c>
      <c r="B112" s="111">
        <v>56.58</v>
      </c>
      <c r="C112" s="151">
        <f t="shared" si="16"/>
        <v>90030.55</v>
      </c>
      <c r="D112" s="130">
        <v>5093928.5190000003</v>
      </c>
      <c r="E112" s="151">
        <f t="shared" si="17"/>
        <v>90505.55</v>
      </c>
      <c r="F112" s="130">
        <v>5120804.0190000003</v>
      </c>
      <c r="G112" s="151">
        <f t="shared" si="18"/>
        <v>90980.55</v>
      </c>
      <c r="H112" s="130">
        <v>5147679.5190000003</v>
      </c>
      <c r="I112" s="151">
        <f t="shared" si="19"/>
        <v>90505.55</v>
      </c>
      <c r="J112" s="130">
        <v>5120804.0190000003</v>
      </c>
      <c r="K112" s="36" t="s">
        <v>65</v>
      </c>
    </row>
    <row r="113" spans="1:12">
      <c r="A113" s="124" t="s">
        <v>67</v>
      </c>
      <c r="B113" s="125">
        <v>58.22</v>
      </c>
      <c r="C113" s="150">
        <f t="shared" si="16"/>
        <v>89484.3</v>
      </c>
      <c r="D113" s="127">
        <v>5209775.9460000005</v>
      </c>
      <c r="E113" s="150">
        <f t="shared" si="17"/>
        <v>89959.3</v>
      </c>
      <c r="F113" s="127">
        <v>5237430.4460000005</v>
      </c>
      <c r="G113" s="150">
        <f t="shared" si="18"/>
        <v>90434.3</v>
      </c>
      <c r="H113" s="127">
        <v>5265084.9460000005</v>
      </c>
      <c r="I113" s="150">
        <f t="shared" si="19"/>
        <v>89959.3</v>
      </c>
      <c r="J113" s="23">
        <v>5237430.4460000005</v>
      </c>
      <c r="K113" s="25" t="s">
        <v>65</v>
      </c>
    </row>
    <row r="114" spans="1:12">
      <c r="A114" s="121" t="s">
        <v>68</v>
      </c>
      <c r="B114" s="128">
        <v>21.6</v>
      </c>
      <c r="C114" s="151">
        <f t="shared" si="16"/>
        <v>125517.8</v>
      </c>
      <c r="D114" s="130">
        <v>2711184.48</v>
      </c>
      <c r="E114" s="151">
        <f t="shared" si="17"/>
        <v>125992.8</v>
      </c>
      <c r="F114" s="130">
        <v>2721444.48</v>
      </c>
      <c r="G114" s="151">
        <f t="shared" si="18"/>
        <v>126467.8</v>
      </c>
      <c r="H114" s="130">
        <v>2731704.48</v>
      </c>
      <c r="I114" s="151">
        <f t="shared" si="19"/>
        <v>125992.8</v>
      </c>
      <c r="J114" s="130">
        <v>2721444.48</v>
      </c>
      <c r="K114" s="36" t="s">
        <v>69</v>
      </c>
    </row>
    <row r="115" spans="1:12">
      <c r="A115" s="110" t="s">
        <v>70</v>
      </c>
      <c r="B115" s="111">
        <v>37.549999999999997</v>
      </c>
      <c r="C115" s="151">
        <f t="shared" si="16"/>
        <v>107810.75</v>
      </c>
      <c r="D115" s="130">
        <v>4048293.6625000001</v>
      </c>
      <c r="E115" s="151">
        <f t="shared" si="17"/>
        <v>108284.8</v>
      </c>
      <c r="F115" s="130">
        <v>4066094.24</v>
      </c>
      <c r="G115" s="151">
        <f t="shared" si="18"/>
        <v>108759.8</v>
      </c>
      <c r="H115" s="130">
        <v>4083930.49</v>
      </c>
      <c r="I115" s="151">
        <f t="shared" si="19"/>
        <v>108284.8</v>
      </c>
      <c r="J115" s="130">
        <v>4066094.24</v>
      </c>
      <c r="K115" s="36" t="s">
        <v>71</v>
      </c>
    </row>
    <row r="116" spans="1:12">
      <c r="A116" s="110" t="s">
        <v>72</v>
      </c>
      <c r="B116" s="111">
        <v>56.58</v>
      </c>
      <c r="C116" s="151">
        <f t="shared" si="16"/>
        <v>92532.85</v>
      </c>
      <c r="D116" s="130">
        <v>5235508.6529999999</v>
      </c>
      <c r="E116" s="151">
        <f t="shared" si="17"/>
        <v>93007.85</v>
      </c>
      <c r="F116" s="130">
        <v>5262384.1529999999</v>
      </c>
      <c r="G116" s="151">
        <f t="shared" si="18"/>
        <v>93482.85</v>
      </c>
      <c r="H116" s="130">
        <v>5289259.6529999999</v>
      </c>
      <c r="I116" s="151">
        <f t="shared" si="19"/>
        <v>93007.85</v>
      </c>
      <c r="J116" s="130">
        <v>5262384.1529999999</v>
      </c>
      <c r="K116" s="36" t="s">
        <v>71</v>
      </c>
    </row>
    <row r="117" spans="1:12">
      <c r="A117" s="124" t="s">
        <v>72</v>
      </c>
      <c r="B117" s="125">
        <v>58.22</v>
      </c>
      <c r="C117" s="150">
        <f t="shared" si="16"/>
        <v>91892.55</v>
      </c>
      <c r="D117" s="127">
        <v>5349984.2609999999</v>
      </c>
      <c r="E117" s="150">
        <f t="shared" si="17"/>
        <v>92367.55</v>
      </c>
      <c r="F117" s="127">
        <v>5377638.7609999999</v>
      </c>
      <c r="G117" s="150">
        <f t="shared" si="18"/>
        <v>92842.55</v>
      </c>
      <c r="H117" s="127">
        <v>5405293.2609999999</v>
      </c>
      <c r="I117" s="150">
        <f t="shared" si="19"/>
        <v>92367.55</v>
      </c>
      <c r="J117" s="23">
        <v>5377638.7609999999</v>
      </c>
      <c r="K117" s="25" t="s">
        <v>71</v>
      </c>
    </row>
    <row r="118" spans="1:12">
      <c r="A118" s="121" t="s">
        <v>73</v>
      </c>
      <c r="B118" s="131">
        <v>21.6</v>
      </c>
      <c r="C118" s="152">
        <f t="shared" si="16"/>
        <v>134313.85</v>
      </c>
      <c r="D118" s="133">
        <v>2901179.16</v>
      </c>
      <c r="E118" s="152">
        <f t="shared" si="17"/>
        <v>134788.85</v>
      </c>
      <c r="F118" s="133">
        <v>2911439.16</v>
      </c>
      <c r="G118" s="148">
        <f t="shared" si="18"/>
        <v>135263.85</v>
      </c>
      <c r="H118" s="130">
        <v>2921699.16</v>
      </c>
      <c r="I118" s="152">
        <f t="shared" si="19"/>
        <v>134788.85</v>
      </c>
      <c r="J118" s="141">
        <v>2911439.16</v>
      </c>
      <c r="K118" s="163" t="s">
        <v>71</v>
      </c>
    </row>
    <row r="119" spans="1:12">
      <c r="A119" s="110" t="s">
        <v>74</v>
      </c>
      <c r="B119" s="134">
        <v>37.549999999999997</v>
      </c>
      <c r="C119" s="32">
        <f t="shared" si="16"/>
        <v>107810.75</v>
      </c>
      <c r="D119" s="133">
        <v>4048293.6625000001</v>
      </c>
      <c r="E119" s="32">
        <f t="shared" si="17"/>
        <v>108285.75</v>
      </c>
      <c r="F119" s="133">
        <v>4066129.9125000001</v>
      </c>
      <c r="G119" s="151">
        <f t="shared" si="18"/>
        <v>108759.8</v>
      </c>
      <c r="H119" s="130">
        <v>4083930.49</v>
      </c>
      <c r="I119" s="32">
        <f t="shared" si="19"/>
        <v>108284.8</v>
      </c>
      <c r="J119" s="35">
        <v>4066094.24</v>
      </c>
      <c r="K119" s="163" t="s">
        <v>71</v>
      </c>
    </row>
    <row r="120" spans="1:12">
      <c r="A120" s="110" t="s">
        <v>75</v>
      </c>
      <c r="B120" s="134">
        <v>56.58</v>
      </c>
      <c r="C120" s="32">
        <f t="shared" si="16"/>
        <v>92532.85</v>
      </c>
      <c r="D120" s="133">
        <v>5235508.6529999999</v>
      </c>
      <c r="E120" s="32">
        <f t="shared" si="17"/>
        <v>93007.85</v>
      </c>
      <c r="F120" s="133">
        <v>5262384.1529999999</v>
      </c>
      <c r="G120" s="151">
        <f t="shared" si="18"/>
        <v>93482.85</v>
      </c>
      <c r="H120" s="130">
        <v>5289259.6529999999</v>
      </c>
      <c r="I120" s="32">
        <f t="shared" si="19"/>
        <v>93007.85</v>
      </c>
      <c r="J120" s="35">
        <v>5262384.1529999999</v>
      </c>
      <c r="K120" s="163" t="s">
        <v>71</v>
      </c>
    </row>
    <row r="121" spans="1:12">
      <c r="A121" s="124" t="s">
        <v>75</v>
      </c>
      <c r="B121" s="136">
        <v>58.22</v>
      </c>
      <c r="C121" s="22">
        <f t="shared" si="16"/>
        <v>91892.55</v>
      </c>
      <c r="D121" s="138">
        <v>5349984.2609999999</v>
      </c>
      <c r="E121" s="22">
        <f t="shared" si="17"/>
        <v>92367.55</v>
      </c>
      <c r="F121" s="138">
        <v>5377638.7609999999</v>
      </c>
      <c r="G121" s="150">
        <f t="shared" si="18"/>
        <v>92842.55</v>
      </c>
      <c r="H121" s="127">
        <v>5405293.2609999999</v>
      </c>
      <c r="I121" s="22">
        <f t="shared" si="19"/>
        <v>92367.55</v>
      </c>
      <c r="J121" s="23">
        <v>5377638.7609999999</v>
      </c>
      <c r="K121" s="164" t="s">
        <v>71</v>
      </c>
    </row>
    <row r="122" spans="1:12">
      <c r="A122" s="110" t="s">
        <v>76</v>
      </c>
      <c r="B122" s="139">
        <v>35.67</v>
      </c>
      <c r="C122" s="152">
        <f t="shared" si="16"/>
        <v>99864.95</v>
      </c>
      <c r="D122" s="140">
        <v>3562182.7664999999</v>
      </c>
      <c r="E122" s="152">
        <f t="shared" si="17"/>
        <v>100339.95</v>
      </c>
      <c r="F122" s="140">
        <v>3579126.0164999999</v>
      </c>
      <c r="G122" s="148">
        <f t="shared" si="18"/>
        <v>100814.95</v>
      </c>
      <c r="H122" s="141">
        <v>3596069.2664999999</v>
      </c>
      <c r="I122" s="152">
        <f t="shared" si="19"/>
        <v>100339.95</v>
      </c>
      <c r="J122" s="141">
        <v>3579126.0164999999</v>
      </c>
      <c r="K122" s="165" t="s">
        <v>56</v>
      </c>
    </row>
    <row r="123" spans="1:12">
      <c r="A123" s="124" t="s">
        <v>76</v>
      </c>
      <c r="B123" s="142">
        <v>37.090000000000003</v>
      </c>
      <c r="C123" s="153">
        <f t="shared" si="16"/>
        <v>99067.9</v>
      </c>
      <c r="D123" s="144">
        <v>3674428.4109999998</v>
      </c>
      <c r="E123" s="153">
        <f t="shared" si="17"/>
        <v>99542.9</v>
      </c>
      <c r="F123" s="144">
        <v>3692046.1609999998</v>
      </c>
      <c r="G123" s="147">
        <f t="shared" si="18"/>
        <v>100017.9</v>
      </c>
      <c r="H123" s="145">
        <v>3709663.9109999998</v>
      </c>
      <c r="I123" s="153">
        <f t="shared" si="19"/>
        <v>99542.9</v>
      </c>
      <c r="J123" s="145">
        <v>3692046.1609999998</v>
      </c>
      <c r="K123" s="166" t="s">
        <v>56</v>
      </c>
    </row>
    <row r="125" spans="1:12" ht="15.75">
      <c r="C125" s="207" t="s">
        <v>25</v>
      </c>
      <c r="D125" s="208"/>
      <c r="E125" s="208"/>
      <c r="F125" s="208"/>
      <c r="G125" s="208"/>
      <c r="H125" s="209"/>
      <c r="I125" s="207" t="s">
        <v>26</v>
      </c>
      <c r="J125" s="208"/>
      <c r="K125" s="208"/>
      <c r="L125" s="210"/>
    </row>
    <row r="126" spans="1:12" ht="15.75">
      <c r="C126" s="211" t="s">
        <v>28</v>
      </c>
      <c r="D126" s="212" t="s">
        <v>29</v>
      </c>
      <c r="E126" s="213" t="s">
        <v>30</v>
      </c>
      <c r="F126" s="212"/>
      <c r="G126" s="213" t="s">
        <v>31</v>
      </c>
      <c r="H126" s="214"/>
      <c r="I126" s="46" t="s">
        <v>32</v>
      </c>
      <c r="J126" s="215" t="s">
        <v>30</v>
      </c>
      <c r="K126" s="216"/>
      <c r="L126" s="53" t="s">
        <v>33</v>
      </c>
    </row>
    <row r="127" spans="1:12" ht="78.75">
      <c r="C127" s="47" t="s">
        <v>34</v>
      </c>
      <c r="D127" s="48" t="s">
        <v>35</v>
      </c>
      <c r="E127" s="48" t="s">
        <v>34</v>
      </c>
      <c r="F127" s="48" t="s">
        <v>35</v>
      </c>
      <c r="G127" s="48" t="s">
        <v>36</v>
      </c>
      <c r="H127" s="49" t="s">
        <v>37</v>
      </c>
      <c r="I127" s="47" t="s">
        <v>38</v>
      </c>
      <c r="J127" s="48" t="s">
        <v>39</v>
      </c>
      <c r="K127" s="54" t="s">
        <v>38</v>
      </c>
      <c r="L127" s="49" t="s">
        <v>40</v>
      </c>
    </row>
    <row r="128" spans="1:12" ht="15.75">
      <c r="C128" s="50">
        <v>1</v>
      </c>
      <c r="D128" s="51">
        <v>2</v>
      </c>
      <c r="E128" s="51">
        <v>3</v>
      </c>
      <c r="F128" s="51">
        <v>4</v>
      </c>
      <c r="G128" s="51">
        <v>5</v>
      </c>
      <c r="H128" s="52">
        <v>6</v>
      </c>
      <c r="I128" s="50">
        <v>7</v>
      </c>
      <c r="J128" s="51">
        <v>8</v>
      </c>
      <c r="K128" s="55">
        <v>9</v>
      </c>
      <c r="L128" s="52">
        <v>10</v>
      </c>
    </row>
  </sheetData>
  <mergeCells count="6">
    <mergeCell ref="C125:H125"/>
    <mergeCell ref="I125:L125"/>
    <mergeCell ref="C126:D126"/>
    <mergeCell ref="E126:F126"/>
    <mergeCell ref="G126:H126"/>
    <mergeCell ref="J126:K126"/>
  </mergeCells>
  <pageMargins left="0.118110236220472" right="0.118110236220472" top="7.8740157480315001E-2" bottom="0.15748031496063" header="0.31496062992126" footer="0.31496062992126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62"/>
  <sheetViews>
    <sheetView topLeftCell="A43" zoomScale="90" zoomScaleNormal="90" workbookViewId="0">
      <selection activeCell="A44" sqref="A44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3" max="13" width="10.85546875" customWidth="1"/>
    <col min="14" max="14" width="10.28515625" customWidth="1"/>
    <col min="16" max="16" width="8.85546875" customWidth="1"/>
  </cols>
  <sheetData>
    <row r="1" spans="1:13" s="1" customFormat="1" ht="18.75">
      <c r="A1" s="239" t="s">
        <v>117</v>
      </c>
      <c r="E1" s="4"/>
      <c r="F1" s="4"/>
      <c r="G1" s="4"/>
      <c r="H1" s="4"/>
      <c r="I1" s="4"/>
      <c r="J1" s="4"/>
      <c r="K1" s="4"/>
    </row>
    <row r="2" spans="1:13" ht="46.5" customHeight="1">
      <c r="A2" s="56" t="s">
        <v>41</v>
      </c>
      <c r="B2" s="57" t="s">
        <v>77</v>
      </c>
      <c r="C2" s="57" t="s">
        <v>43</v>
      </c>
      <c r="D2" s="57" t="s">
        <v>44</v>
      </c>
      <c r="E2" s="57" t="s">
        <v>45</v>
      </c>
      <c r="F2" s="57" t="s">
        <v>44</v>
      </c>
      <c r="G2" s="57" t="s">
        <v>78</v>
      </c>
      <c r="H2" s="57" t="s">
        <v>44</v>
      </c>
      <c r="I2" s="57" t="s">
        <v>79</v>
      </c>
      <c r="J2" s="57" t="s">
        <v>44</v>
      </c>
      <c r="K2" s="95" t="s">
        <v>7</v>
      </c>
    </row>
    <row r="3" spans="1:13">
      <c r="A3" s="58" t="s">
        <v>80</v>
      </c>
      <c r="B3" s="59">
        <v>55.5</v>
      </c>
      <c r="C3" s="60">
        <f>D3/B3</f>
        <v>116395.35</v>
      </c>
      <c r="D3" s="61">
        <v>6459941.9249999998</v>
      </c>
      <c r="E3" s="60">
        <f>F3/B3</f>
        <v>116971.85</v>
      </c>
      <c r="F3" s="62">
        <v>6491937.6749999998</v>
      </c>
      <c r="G3" s="60">
        <f>H3/B3</f>
        <v>117548.35</v>
      </c>
      <c r="H3" s="62">
        <v>6523933.4249999998</v>
      </c>
      <c r="I3" s="91">
        <f>J3/B3</f>
        <v>118124.85</v>
      </c>
      <c r="J3" s="62">
        <v>6555929.1749999998</v>
      </c>
      <c r="K3" s="96" t="s">
        <v>81</v>
      </c>
    </row>
    <row r="4" spans="1:13">
      <c r="A4" s="63" t="s">
        <v>82</v>
      </c>
      <c r="B4" s="64">
        <v>21.3</v>
      </c>
      <c r="C4" s="65"/>
      <c r="D4" s="66"/>
      <c r="E4" s="67">
        <f t="shared" ref="E4:E20" si="0">F4/B4</f>
        <v>163219.83300000001</v>
      </c>
      <c r="F4" s="68">
        <v>3476582.4429000001</v>
      </c>
      <c r="G4" s="67">
        <f t="shared" ref="G4:G20" si="1">H4/B4</f>
        <v>160513.742</v>
      </c>
      <c r="H4" s="68">
        <v>3418942.7045999998</v>
      </c>
      <c r="I4" s="68"/>
      <c r="J4" s="68"/>
      <c r="K4" s="97" t="s">
        <v>83</v>
      </c>
    </row>
    <row r="5" spans="1:13">
      <c r="A5" s="63" t="s">
        <v>84</v>
      </c>
      <c r="B5" s="69">
        <v>37</v>
      </c>
      <c r="C5" s="70">
        <f t="shared" ref="C5:C20" si="2">D5/B5</f>
        <v>131960.85</v>
      </c>
      <c r="D5" s="71">
        <v>4882551.45</v>
      </c>
      <c r="E5" s="70">
        <f t="shared" si="0"/>
        <v>132537.35</v>
      </c>
      <c r="F5" s="71">
        <v>4903881.95</v>
      </c>
      <c r="G5" s="70">
        <f t="shared" si="1"/>
        <v>133113.85</v>
      </c>
      <c r="H5" s="72">
        <v>4925212.45</v>
      </c>
      <c r="I5" s="72"/>
      <c r="J5" s="72"/>
      <c r="K5" s="97" t="s">
        <v>83</v>
      </c>
    </row>
    <row r="6" spans="1:13">
      <c r="A6" s="63" t="s">
        <v>85</v>
      </c>
      <c r="B6" s="69">
        <v>55</v>
      </c>
      <c r="C6" s="73">
        <f t="shared" si="2"/>
        <v>117443.427</v>
      </c>
      <c r="D6" s="71">
        <v>6459388.4850000003</v>
      </c>
      <c r="E6" s="73">
        <f t="shared" si="0"/>
        <v>118019.927</v>
      </c>
      <c r="F6" s="71">
        <v>6491095.9850000003</v>
      </c>
      <c r="G6" s="73">
        <f t="shared" si="1"/>
        <v>117548.35</v>
      </c>
      <c r="H6" s="72">
        <v>6465159.25</v>
      </c>
      <c r="I6" s="72"/>
      <c r="J6" s="72"/>
      <c r="K6" s="97" t="s">
        <v>83</v>
      </c>
    </row>
    <row r="7" spans="1:13">
      <c r="A7" s="74" t="s">
        <v>86</v>
      </c>
      <c r="B7" s="75">
        <v>64.8</v>
      </c>
      <c r="C7" s="76">
        <f t="shared" si="2"/>
        <v>105640.166</v>
      </c>
      <c r="D7" s="77">
        <v>6845482.7567999996</v>
      </c>
      <c r="E7" s="76">
        <f t="shared" si="0"/>
        <v>106216.666</v>
      </c>
      <c r="F7" s="78">
        <v>6882839.9567999998</v>
      </c>
      <c r="G7" s="76">
        <f t="shared" si="1"/>
        <v>105903.05</v>
      </c>
      <c r="H7" s="79">
        <v>6862517.6399999997</v>
      </c>
      <c r="I7" s="98"/>
      <c r="J7" s="79"/>
      <c r="K7" s="99" t="s">
        <v>83</v>
      </c>
    </row>
    <row r="8" spans="1:13">
      <c r="A8" s="80" t="s">
        <v>87</v>
      </c>
      <c r="B8" s="64">
        <v>32.799999999999997</v>
      </c>
      <c r="C8" s="81">
        <f t="shared" si="2"/>
        <v>134266.85</v>
      </c>
      <c r="D8" s="68">
        <v>4403952.68</v>
      </c>
      <c r="E8" s="82">
        <f t="shared" si="0"/>
        <v>134843.35</v>
      </c>
      <c r="F8" s="68">
        <v>4422861.88</v>
      </c>
      <c r="G8" s="82">
        <f t="shared" si="1"/>
        <v>135419.85</v>
      </c>
      <c r="H8" s="71">
        <v>4441771.08</v>
      </c>
      <c r="I8" s="68"/>
      <c r="J8" s="68"/>
      <c r="K8" s="100" t="s">
        <v>81</v>
      </c>
    </row>
    <row r="9" spans="1:13">
      <c r="A9" s="63" t="s">
        <v>88</v>
      </c>
      <c r="B9" s="83">
        <v>34</v>
      </c>
      <c r="C9" s="82">
        <f t="shared" si="2"/>
        <v>134266.85</v>
      </c>
      <c r="D9" s="71">
        <v>4565072.9000000004</v>
      </c>
      <c r="E9" s="82">
        <f t="shared" si="0"/>
        <v>134843.35</v>
      </c>
      <c r="F9" s="71">
        <v>4584673.9000000004</v>
      </c>
      <c r="G9" s="82">
        <f t="shared" si="1"/>
        <v>135419.85</v>
      </c>
      <c r="H9" s="71">
        <v>4604274.9000000004</v>
      </c>
      <c r="I9" s="71"/>
      <c r="J9" s="71"/>
      <c r="K9" s="101" t="s">
        <v>81</v>
      </c>
    </row>
    <row r="10" spans="1:13">
      <c r="A10" s="63" t="s">
        <v>88</v>
      </c>
      <c r="B10" s="83">
        <v>37</v>
      </c>
      <c r="C10" s="82">
        <f t="shared" si="2"/>
        <v>131960.85</v>
      </c>
      <c r="D10" s="71">
        <v>4882551.45</v>
      </c>
      <c r="E10" s="82">
        <f t="shared" si="0"/>
        <v>132537.35</v>
      </c>
      <c r="F10" s="71">
        <v>4903881.95</v>
      </c>
      <c r="G10" s="82">
        <f t="shared" si="1"/>
        <v>133113.85</v>
      </c>
      <c r="H10" s="71">
        <v>4925212.45</v>
      </c>
      <c r="I10" s="71"/>
      <c r="J10" s="71"/>
      <c r="K10" s="101" t="s">
        <v>81</v>
      </c>
    </row>
    <row r="11" spans="1:13">
      <c r="A11" s="63" t="s">
        <v>89</v>
      </c>
      <c r="B11" s="83">
        <v>51.1</v>
      </c>
      <c r="C11" s="82">
        <f t="shared" si="2"/>
        <v>119854.35</v>
      </c>
      <c r="D11" s="71">
        <v>6124557.2850000001</v>
      </c>
      <c r="E11" s="82">
        <f t="shared" si="0"/>
        <v>120430.85</v>
      </c>
      <c r="F11" s="71">
        <v>6154016.4349999996</v>
      </c>
      <c r="G11" s="82">
        <f t="shared" si="1"/>
        <v>121007.35</v>
      </c>
      <c r="H11" s="71">
        <v>6183475.585</v>
      </c>
      <c r="I11" s="71"/>
      <c r="J11" s="71"/>
      <c r="K11" s="101" t="s">
        <v>81</v>
      </c>
    </row>
    <row r="12" spans="1:13">
      <c r="A12" s="63" t="s">
        <v>88</v>
      </c>
      <c r="B12" s="83">
        <v>55</v>
      </c>
      <c r="C12" s="82">
        <f t="shared" si="2"/>
        <v>116395.35</v>
      </c>
      <c r="D12" s="71">
        <v>6401744.25</v>
      </c>
      <c r="E12" s="82">
        <f t="shared" si="0"/>
        <v>116971.85</v>
      </c>
      <c r="F12" s="71">
        <v>6433451.75</v>
      </c>
      <c r="G12" s="82">
        <f t="shared" si="1"/>
        <v>117548.35</v>
      </c>
      <c r="H12" s="71">
        <v>6465159.25</v>
      </c>
      <c r="I12" s="71"/>
      <c r="J12" s="71"/>
      <c r="K12" s="101" t="s">
        <v>81</v>
      </c>
    </row>
    <row r="13" spans="1:13">
      <c r="A13" s="84" t="s">
        <v>89</v>
      </c>
      <c r="B13" s="85">
        <v>56.5</v>
      </c>
      <c r="C13" s="86">
        <f t="shared" si="2"/>
        <v>116395.35</v>
      </c>
      <c r="D13" s="77">
        <v>6576337.2750000004</v>
      </c>
      <c r="E13" s="76">
        <f t="shared" si="0"/>
        <v>116971.85</v>
      </c>
      <c r="F13" s="78">
        <v>6608909.5250000004</v>
      </c>
      <c r="G13" s="76">
        <f t="shared" si="1"/>
        <v>117548.35</v>
      </c>
      <c r="H13" s="79">
        <v>6641481.7750000004</v>
      </c>
      <c r="I13" s="102"/>
      <c r="J13" s="103"/>
      <c r="K13" s="104" t="s">
        <v>81</v>
      </c>
    </row>
    <row r="14" spans="1:13">
      <c r="A14" s="80" t="s">
        <v>90</v>
      </c>
      <c r="B14" s="64">
        <v>21.3</v>
      </c>
      <c r="C14" s="81">
        <f t="shared" si="2"/>
        <v>159360.742</v>
      </c>
      <c r="D14" s="81">
        <f>2943958.2*1.153</f>
        <v>3394383.8045999999</v>
      </c>
      <c r="E14" s="81">
        <f t="shared" si="0"/>
        <v>159937.242</v>
      </c>
      <c r="F14" s="68">
        <v>3406663.2546000001</v>
      </c>
      <c r="G14" s="81">
        <f t="shared" si="1"/>
        <v>160513.742</v>
      </c>
      <c r="H14" s="68">
        <v>3418942.7045999998</v>
      </c>
      <c r="I14" s="68"/>
      <c r="J14" s="68"/>
      <c r="K14" s="100" t="s">
        <v>83</v>
      </c>
      <c r="M14" s="45"/>
    </row>
    <row r="15" spans="1:13">
      <c r="A15" s="63" t="s">
        <v>91</v>
      </c>
      <c r="B15" s="83">
        <v>24.3</v>
      </c>
      <c r="C15" s="71"/>
      <c r="D15" s="71"/>
      <c r="E15" s="82">
        <f t="shared" si="0"/>
        <v>156680.10923999999</v>
      </c>
      <c r="F15" s="71">
        <v>3807326.654532</v>
      </c>
      <c r="G15" s="82">
        <f t="shared" si="1"/>
        <v>157256.60923999999</v>
      </c>
      <c r="H15" s="71">
        <v>3821335.6045320001</v>
      </c>
      <c r="I15" s="71"/>
      <c r="J15" s="71"/>
      <c r="K15" s="101" t="s">
        <v>83</v>
      </c>
      <c r="M15" s="45"/>
    </row>
    <row r="16" spans="1:13">
      <c r="A16" s="63" t="s">
        <v>92</v>
      </c>
      <c r="B16" s="83">
        <v>37</v>
      </c>
      <c r="C16" s="82">
        <f>D16/B16</f>
        <v>131960.85</v>
      </c>
      <c r="D16" s="82">
        <f>4234650*1.153</f>
        <v>4882551.45</v>
      </c>
      <c r="E16" s="82">
        <f t="shared" si="0"/>
        <v>132537.35</v>
      </c>
      <c r="F16" s="71">
        <v>4903881.95</v>
      </c>
      <c r="G16" s="82">
        <f t="shared" si="1"/>
        <v>133113.85</v>
      </c>
      <c r="H16" s="71">
        <v>4925212.45</v>
      </c>
      <c r="I16" s="71"/>
      <c r="J16" s="71"/>
      <c r="K16" s="101" t="s">
        <v>83</v>
      </c>
      <c r="L16" s="105"/>
      <c r="M16" s="45"/>
    </row>
    <row r="17" spans="1:13">
      <c r="A17" s="63" t="s">
        <v>91</v>
      </c>
      <c r="B17" s="83">
        <v>37.700000000000003</v>
      </c>
      <c r="C17" s="82">
        <f>D17/B17</f>
        <v>131960.85</v>
      </c>
      <c r="D17" s="82">
        <f>4314765*1.153</f>
        <v>4974924.0449999999</v>
      </c>
      <c r="E17" s="82">
        <f t="shared" si="0"/>
        <v>132537.35</v>
      </c>
      <c r="F17" s="71">
        <v>4996658.0949999997</v>
      </c>
      <c r="G17" s="82">
        <f t="shared" si="1"/>
        <v>133113.85</v>
      </c>
      <c r="H17" s="71">
        <v>5018392.1449999996</v>
      </c>
      <c r="I17" s="71"/>
      <c r="J17" s="71"/>
      <c r="K17" s="101" t="s">
        <v>83</v>
      </c>
      <c r="L17" s="105"/>
      <c r="M17" s="45"/>
    </row>
    <row r="18" spans="1:13">
      <c r="A18" s="87" t="s">
        <v>92</v>
      </c>
      <c r="B18" s="88">
        <v>55</v>
      </c>
      <c r="C18" s="89">
        <f>D18/B18</f>
        <v>116395.35</v>
      </c>
      <c r="D18" s="89">
        <f>5552250*1.153</f>
        <v>6401744.25</v>
      </c>
      <c r="E18" s="89">
        <f t="shared" si="0"/>
        <v>116971.85</v>
      </c>
      <c r="F18" s="90">
        <v>6433451.75</v>
      </c>
      <c r="G18" s="89">
        <f t="shared" si="1"/>
        <v>117548.35</v>
      </c>
      <c r="H18" s="90">
        <v>6465159.25</v>
      </c>
      <c r="I18" s="90"/>
      <c r="J18" s="90"/>
      <c r="K18" s="106" t="s">
        <v>83</v>
      </c>
      <c r="L18" s="105"/>
      <c r="M18" s="45"/>
    </row>
    <row r="19" spans="1:13">
      <c r="A19" s="58" t="s">
        <v>93</v>
      </c>
      <c r="B19" s="59">
        <v>64.5</v>
      </c>
      <c r="C19" s="91">
        <f t="shared" si="2"/>
        <v>105640.166</v>
      </c>
      <c r="D19" s="62">
        <v>6813790.7070000004</v>
      </c>
      <c r="E19" s="91">
        <f t="shared" si="0"/>
        <v>106216.666</v>
      </c>
      <c r="F19" s="62">
        <v>6850974.9570000004</v>
      </c>
      <c r="G19" s="92"/>
      <c r="H19" s="92"/>
      <c r="I19" s="92"/>
      <c r="J19" s="92"/>
      <c r="K19" s="96" t="s">
        <v>83</v>
      </c>
    </row>
    <row r="20" spans="1:13">
      <c r="A20" s="58" t="s">
        <v>94</v>
      </c>
      <c r="B20" s="59">
        <v>64.5</v>
      </c>
      <c r="C20" s="91">
        <f t="shared" si="2"/>
        <v>107946.166</v>
      </c>
      <c r="D20" s="62">
        <v>6962527.7070000004</v>
      </c>
      <c r="E20" s="91">
        <f t="shared" si="0"/>
        <v>108522.666</v>
      </c>
      <c r="F20" s="62">
        <v>6999711.9570000004</v>
      </c>
      <c r="G20" s="93">
        <f t="shared" si="1"/>
        <v>109099.166</v>
      </c>
      <c r="H20" s="94">
        <v>7036896.2070000004</v>
      </c>
      <c r="I20" s="92"/>
      <c r="J20" s="92"/>
      <c r="K20" s="96" t="s">
        <v>83</v>
      </c>
    </row>
    <row r="22" spans="1:13" ht="18.75">
      <c r="A22" s="239" t="s">
        <v>118</v>
      </c>
      <c r="B22" s="1"/>
      <c r="C22" s="1"/>
      <c r="D22" s="1"/>
      <c r="E22" s="4"/>
      <c r="F22" s="4"/>
      <c r="G22" s="4"/>
      <c r="H22" s="4"/>
      <c r="I22" s="4"/>
      <c r="J22" s="4"/>
      <c r="K22" s="4"/>
    </row>
    <row r="23" spans="1:13" ht="45">
      <c r="A23" s="56" t="s">
        <v>41</v>
      </c>
      <c r="B23" s="57" t="s">
        <v>77</v>
      </c>
      <c r="C23" s="57" t="s">
        <v>43</v>
      </c>
      <c r="D23" s="57" t="s">
        <v>44</v>
      </c>
      <c r="E23" s="57" t="s">
        <v>45</v>
      </c>
      <c r="F23" s="57" t="s">
        <v>44</v>
      </c>
      <c r="G23" s="57" t="s">
        <v>78</v>
      </c>
      <c r="H23" s="57" t="s">
        <v>44</v>
      </c>
      <c r="I23" s="57" t="s">
        <v>79</v>
      </c>
      <c r="J23" s="57" t="s">
        <v>44</v>
      </c>
      <c r="K23" s="95" t="s">
        <v>7</v>
      </c>
    </row>
    <row r="24" spans="1:13">
      <c r="A24" s="58" t="s">
        <v>80</v>
      </c>
      <c r="B24" s="59">
        <v>55.5</v>
      </c>
      <c r="C24" s="60">
        <f>D24/B24</f>
        <v>113669.7</v>
      </c>
      <c r="D24" s="61">
        <v>6308668.3499999996</v>
      </c>
      <c r="E24" s="60">
        <f>F24/B24</f>
        <v>114232.7</v>
      </c>
      <c r="F24" s="62">
        <v>6339914.8499999996</v>
      </c>
      <c r="G24" s="60">
        <f>H24/B24</f>
        <v>114795.7</v>
      </c>
      <c r="H24" s="62">
        <v>6371161.3499999996</v>
      </c>
      <c r="I24" s="91">
        <f>J24/B24</f>
        <v>115358.7</v>
      </c>
      <c r="J24" s="62">
        <v>6402407.8499999996</v>
      </c>
      <c r="K24" s="96" t="s">
        <v>81</v>
      </c>
    </row>
    <row r="25" spans="1:13">
      <c r="A25" s="63" t="s">
        <v>82</v>
      </c>
      <c r="B25" s="64">
        <v>21.3</v>
      </c>
      <c r="C25" s="65"/>
      <c r="D25" s="66"/>
      <c r="E25" s="67">
        <f t="shared" ref="E25:E41" si="3">F25/B25</f>
        <v>159397.68599999999</v>
      </c>
      <c r="F25" s="68">
        <v>3395170.7118000002</v>
      </c>
      <c r="G25" s="67">
        <f t="shared" ref="G25:G41" si="4">H25/B25</f>
        <v>156754.96400000001</v>
      </c>
      <c r="H25" s="68">
        <v>3338880.7332000001</v>
      </c>
      <c r="I25" s="68"/>
      <c r="J25" s="68"/>
      <c r="K25" s="97" t="s">
        <v>83</v>
      </c>
    </row>
    <row r="26" spans="1:13">
      <c r="A26" s="63" t="s">
        <v>84</v>
      </c>
      <c r="B26" s="69">
        <v>37</v>
      </c>
      <c r="C26" s="70">
        <f t="shared" ref="C26:C41" si="5">D26/B26</f>
        <v>128870.7</v>
      </c>
      <c r="D26" s="71">
        <v>4768215.9000000004</v>
      </c>
      <c r="E26" s="70">
        <f t="shared" si="3"/>
        <v>129433.7</v>
      </c>
      <c r="F26" s="71">
        <v>4789046.9000000004</v>
      </c>
      <c r="G26" s="70">
        <f t="shared" si="4"/>
        <v>129996.7</v>
      </c>
      <c r="H26" s="72">
        <v>4809877.9000000004</v>
      </c>
      <c r="I26" s="72"/>
      <c r="J26" s="72"/>
      <c r="K26" s="97" t="s">
        <v>83</v>
      </c>
    </row>
    <row r="27" spans="1:13">
      <c r="A27" s="63" t="s">
        <v>85</v>
      </c>
      <c r="B27" s="69">
        <v>55</v>
      </c>
      <c r="C27" s="73">
        <f t="shared" si="5"/>
        <v>114693.234</v>
      </c>
      <c r="D27" s="71">
        <v>6308127.8700000001</v>
      </c>
      <c r="E27" s="73">
        <f t="shared" si="3"/>
        <v>115256.234</v>
      </c>
      <c r="F27" s="71">
        <v>6339092.8700000001</v>
      </c>
      <c r="G27" s="73">
        <f t="shared" si="4"/>
        <v>114795.7</v>
      </c>
      <c r="H27" s="72">
        <v>6313763.5</v>
      </c>
      <c r="I27" s="72"/>
      <c r="J27" s="72"/>
      <c r="K27" s="97" t="s">
        <v>83</v>
      </c>
    </row>
    <row r="28" spans="1:13">
      <c r="A28" s="74" t="s">
        <v>86</v>
      </c>
      <c r="B28" s="75">
        <v>64.8</v>
      </c>
      <c r="C28" s="76">
        <f t="shared" si="5"/>
        <v>103166.372</v>
      </c>
      <c r="D28" s="77">
        <v>6685180.9056000002</v>
      </c>
      <c r="E28" s="76">
        <f t="shared" si="3"/>
        <v>103729.372</v>
      </c>
      <c r="F28" s="78">
        <v>6721663.3055999996</v>
      </c>
      <c r="G28" s="76">
        <f t="shared" si="4"/>
        <v>103423.1</v>
      </c>
      <c r="H28" s="79">
        <v>6701816.8799999999</v>
      </c>
      <c r="I28" s="98"/>
      <c r="J28" s="79"/>
      <c r="K28" s="99" t="s">
        <v>83</v>
      </c>
    </row>
    <row r="29" spans="1:13">
      <c r="A29" s="80" t="s">
        <v>87</v>
      </c>
      <c r="B29" s="64">
        <v>32.799999999999997</v>
      </c>
      <c r="C29" s="81">
        <f t="shared" si="5"/>
        <v>131122.70000000001</v>
      </c>
      <c r="D29" s="68">
        <v>4300824.5599999996</v>
      </c>
      <c r="E29" s="82">
        <f t="shared" si="3"/>
        <v>131685.70000000001</v>
      </c>
      <c r="F29" s="68">
        <v>4319290.96</v>
      </c>
      <c r="G29" s="82">
        <f t="shared" si="4"/>
        <v>132248.70000000001</v>
      </c>
      <c r="H29" s="71">
        <v>4337757.3600000003</v>
      </c>
      <c r="I29" s="68"/>
      <c r="J29" s="68"/>
      <c r="K29" s="100" t="s">
        <v>81</v>
      </c>
    </row>
    <row r="30" spans="1:13">
      <c r="A30" s="63" t="s">
        <v>88</v>
      </c>
      <c r="B30" s="83">
        <v>34</v>
      </c>
      <c r="C30" s="82">
        <f t="shared" si="5"/>
        <v>131122.70000000001</v>
      </c>
      <c r="D30" s="71">
        <v>4458171.8</v>
      </c>
      <c r="E30" s="82">
        <f t="shared" si="3"/>
        <v>131685.70000000001</v>
      </c>
      <c r="F30" s="71">
        <v>4477313.8</v>
      </c>
      <c r="G30" s="82">
        <f t="shared" si="4"/>
        <v>132248.70000000001</v>
      </c>
      <c r="H30" s="71">
        <v>4496455.8</v>
      </c>
      <c r="I30" s="71"/>
      <c r="J30" s="71"/>
      <c r="K30" s="101" t="s">
        <v>81</v>
      </c>
    </row>
    <row r="31" spans="1:13">
      <c r="A31" s="63" t="s">
        <v>88</v>
      </c>
      <c r="B31" s="83">
        <v>37</v>
      </c>
      <c r="C31" s="82">
        <f t="shared" si="5"/>
        <v>128870.7</v>
      </c>
      <c r="D31" s="71">
        <v>4768215.9000000004</v>
      </c>
      <c r="E31" s="82">
        <f t="shared" si="3"/>
        <v>129433.7</v>
      </c>
      <c r="F31" s="71">
        <v>4789046.9000000004</v>
      </c>
      <c r="G31" s="82">
        <f t="shared" si="4"/>
        <v>129996.7</v>
      </c>
      <c r="H31" s="71">
        <v>4809877.9000000004</v>
      </c>
      <c r="I31" s="71"/>
      <c r="J31" s="71"/>
      <c r="K31" s="101" t="s">
        <v>81</v>
      </c>
    </row>
    <row r="32" spans="1:13">
      <c r="A32" s="63" t="s">
        <v>89</v>
      </c>
      <c r="B32" s="83">
        <v>51.1</v>
      </c>
      <c r="C32" s="82">
        <f t="shared" si="5"/>
        <v>117047.7</v>
      </c>
      <c r="D32" s="71">
        <v>5981137.4699999997</v>
      </c>
      <c r="E32" s="82">
        <f t="shared" si="3"/>
        <v>117610.7</v>
      </c>
      <c r="F32" s="71">
        <v>6009906.7699999996</v>
      </c>
      <c r="G32" s="82">
        <f t="shared" si="4"/>
        <v>118173.7</v>
      </c>
      <c r="H32" s="71">
        <v>6038676.0700000003</v>
      </c>
      <c r="I32" s="71"/>
      <c r="J32" s="71"/>
      <c r="K32" s="101" t="s">
        <v>81</v>
      </c>
    </row>
    <row r="33" spans="1:11">
      <c r="A33" s="63" t="s">
        <v>88</v>
      </c>
      <c r="B33" s="83">
        <v>55</v>
      </c>
      <c r="C33" s="82">
        <f t="shared" si="5"/>
        <v>113669.7</v>
      </c>
      <c r="D33" s="71">
        <v>6251833.5</v>
      </c>
      <c r="E33" s="82">
        <f t="shared" si="3"/>
        <v>114232.7</v>
      </c>
      <c r="F33" s="71">
        <v>6282798.5</v>
      </c>
      <c r="G33" s="82">
        <f t="shared" si="4"/>
        <v>114795.7</v>
      </c>
      <c r="H33" s="71">
        <v>6313763.5</v>
      </c>
      <c r="I33" s="71"/>
      <c r="J33" s="71"/>
      <c r="K33" s="101" t="s">
        <v>81</v>
      </c>
    </row>
    <row r="34" spans="1:11">
      <c r="A34" s="84" t="s">
        <v>89</v>
      </c>
      <c r="B34" s="85">
        <v>56.5</v>
      </c>
      <c r="C34" s="86">
        <f t="shared" si="5"/>
        <v>113669.7</v>
      </c>
      <c r="D34" s="77">
        <v>6422338.0499999998</v>
      </c>
      <c r="E34" s="76">
        <f t="shared" si="3"/>
        <v>114232.7</v>
      </c>
      <c r="F34" s="78">
        <v>6454147.5499999998</v>
      </c>
      <c r="G34" s="76">
        <f t="shared" si="4"/>
        <v>114795.7</v>
      </c>
      <c r="H34" s="79">
        <v>6485957.0499999998</v>
      </c>
      <c r="I34" s="102"/>
      <c r="J34" s="103"/>
      <c r="K34" s="104" t="s">
        <v>81</v>
      </c>
    </row>
    <row r="35" spans="1:11">
      <c r="A35" s="80" t="s">
        <v>90</v>
      </c>
      <c r="B35" s="64">
        <v>21.3</v>
      </c>
      <c r="C35" s="81">
        <f t="shared" si="5"/>
        <v>155628.96400000001</v>
      </c>
      <c r="D35" s="81">
        <f>2943958.2*1.126</f>
        <v>3314896.9331999999</v>
      </c>
      <c r="E35" s="81">
        <f t="shared" si="3"/>
        <v>156191.96400000001</v>
      </c>
      <c r="F35" s="68">
        <v>3326888.8332000002</v>
      </c>
      <c r="G35" s="81">
        <f t="shared" si="4"/>
        <v>156754.96400000001</v>
      </c>
      <c r="H35" s="68">
        <v>3338880.7332000001</v>
      </c>
      <c r="I35" s="68"/>
      <c r="J35" s="68"/>
      <c r="K35" s="100" t="s">
        <v>83</v>
      </c>
    </row>
    <row r="36" spans="1:11">
      <c r="A36" s="63" t="s">
        <v>91</v>
      </c>
      <c r="B36" s="83">
        <v>24.3</v>
      </c>
      <c r="C36" s="71"/>
      <c r="D36" s="71"/>
      <c r="E36" s="82">
        <f t="shared" si="3"/>
        <v>153011.10407999999</v>
      </c>
      <c r="F36" s="71">
        <v>3718169.8291440001</v>
      </c>
      <c r="G36" s="82">
        <f t="shared" si="4"/>
        <v>153574.10407999999</v>
      </c>
      <c r="H36" s="71">
        <v>3731850.729144</v>
      </c>
      <c r="I36" s="71"/>
      <c r="J36" s="71"/>
      <c r="K36" s="101" t="s">
        <v>83</v>
      </c>
    </row>
    <row r="37" spans="1:11">
      <c r="A37" s="63" t="s">
        <v>92</v>
      </c>
      <c r="B37" s="83">
        <v>37</v>
      </c>
      <c r="C37" s="82">
        <f>D37/B37</f>
        <v>128870.7</v>
      </c>
      <c r="D37" s="82">
        <f>4234650*1.126</f>
        <v>4768215.9000000004</v>
      </c>
      <c r="E37" s="82">
        <f t="shared" si="3"/>
        <v>129433.7</v>
      </c>
      <c r="F37" s="71">
        <v>4789046.9000000004</v>
      </c>
      <c r="G37" s="82">
        <f t="shared" si="4"/>
        <v>129996.7</v>
      </c>
      <c r="H37" s="71">
        <v>4809877.9000000004</v>
      </c>
      <c r="I37" s="71"/>
      <c r="J37" s="71"/>
      <c r="K37" s="101" t="s">
        <v>83</v>
      </c>
    </row>
    <row r="38" spans="1:11">
      <c r="A38" s="63" t="s">
        <v>91</v>
      </c>
      <c r="B38" s="83">
        <v>37.700000000000003</v>
      </c>
      <c r="C38" s="82">
        <f>D38/B38</f>
        <v>128870.7</v>
      </c>
      <c r="D38" s="82">
        <f>4314765*1.126</f>
        <v>4858425.3899999997</v>
      </c>
      <c r="E38" s="82">
        <f t="shared" si="3"/>
        <v>129433.7</v>
      </c>
      <c r="F38" s="71">
        <v>4879650.49</v>
      </c>
      <c r="G38" s="82">
        <f t="shared" si="4"/>
        <v>129996.7</v>
      </c>
      <c r="H38" s="71">
        <v>4900875.59</v>
      </c>
      <c r="I38" s="71"/>
      <c r="J38" s="71"/>
      <c r="K38" s="101" t="s">
        <v>83</v>
      </c>
    </row>
    <row r="39" spans="1:11">
      <c r="A39" s="87" t="s">
        <v>92</v>
      </c>
      <c r="B39" s="88">
        <v>55</v>
      </c>
      <c r="C39" s="89">
        <f>D39/B39</f>
        <v>113669.7</v>
      </c>
      <c r="D39" s="89">
        <f>5552250*1.126</f>
        <v>6251833.5</v>
      </c>
      <c r="E39" s="89">
        <f t="shared" si="3"/>
        <v>114232.7</v>
      </c>
      <c r="F39" s="90">
        <v>6282798.5</v>
      </c>
      <c r="G39" s="89">
        <f t="shared" si="4"/>
        <v>114795.7</v>
      </c>
      <c r="H39" s="90">
        <v>6313763.5</v>
      </c>
      <c r="I39" s="90"/>
      <c r="J39" s="90"/>
      <c r="K39" s="106" t="s">
        <v>83</v>
      </c>
    </row>
    <row r="40" spans="1:11">
      <c r="A40" s="58" t="s">
        <v>93</v>
      </c>
      <c r="B40" s="59">
        <v>64.5</v>
      </c>
      <c r="C40" s="91">
        <f t="shared" si="5"/>
        <v>103166.372</v>
      </c>
      <c r="D40" s="62">
        <v>6654230.9939999999</v>
      </c>
      <c r="E40" s="91">
        <f t="shared" si="3"/>
        <v>103729.372</v>
      </c>
      <c r="F40" s="62">
        <v>6690544.4939999999</v>
      </c>
      <c r="G40" s="92"/>
      <c r="H40" s="92"/>
      <c r="I40" s="92"/>
      <c r="J40" s="92"/>
      <c r="K40" s="96" t="s">
        <v>83</v>
      </c>
    </row>
    <row r="41" spans="1:11">
      <c r="A41" s="58" t="s">
        <v>94</v>
      </c>
      <c r="B41" s="59">
        <v>64.5</v>
      </c>
      <c r="C41" s="91">
        <f t="shared" si="5"/>
        <v>105418.372</v>
      </c>
      <c r="D41" s="62">
        <v>6799484.9939999999</v>
      </c>
      <c r="E41" s="91">
        <f t="shared" si="3"/>
        <v>105981.372</v>
      </c>
      <c r="F41" s="62">
        <v>6835798.4939999999</v>
      </c>
      <c r="G41" s="93">
        <f t="shared" si="4"/>
        <v>106544.372</v>
      </c>
      <c r="H41" s="94">
        <v>6872111.9939999999</v>
      </c>
      <c r="I41" s="92"/>
      <c r="J41" s="92"/>
      <c r="K41" s="96" t="s">
        <v>83</v>
      </c>
    </row>
    <row r="43" spans="1:11" ht="18.75">
      <c r="A43" s="239" t="s">
        <v>119</v>
      </c>
      <c r="B43" s="1"/>
      <c r="C43" s="1"/>
      <c r="D43" s="1"/>
      <c r="E43" s="4"/>
      <c r="F43" s="4"/>
      <c r="G43" s="4"/>
      <c r="H43" s="4"/>
      <c r="I43" s="4"/>
      <c r="J43" s="4"/>
      <c r="K43" s="4"/>
    </row>
    <row r="44" spans="1:11" ht="45">
      <c r="A44" s="56" t="s">
        <v>41</v>
      </c>
      <c r="B44" s="57" t="s">
        <v>77</v>
      </c>
      <c r="C44" s="57" t="s">
        <v>43</v>
      </c>
      <c r="D44" s="57" t="s">
        <v>44</v>
      </c>
      <c r="E44" s="57" t="s">
        <v>45</v>
      </c>
      <c r="F44" s="57" t="s">
        <v>44</v>
      </c>
      <c r="G44" s="57" t="s">
        <v>78</v>
      </c>
      <c r="H44" s="57" t="s">
        <v>44</v>
      </c>
      <c r="I44" s="57" t="s">
        <v>79</v>
      </c>
      <c r="J44" s="57" t="s">
        <v>44</v>
      </c>
      <c r="K44" s="95" t="s">
        <v>7</v>
      </c>
    </row>
    <row r="45" spans="1:11">
      <c r="A45" s="58" t="s">
        <v>80</v>
      </c>
      <c r="B45" s="59">
        <v>55.5</v>
      </c>
      <c r="C45" s="60">
        <f>D45/B45</f>
        <v>109530.75</v>
      </c>
      <c r="D45" s="61">
        <v>6078956.625</v>
      </c>
      <c r="E45" s="60">
        <f>F45/B45</f>
        <v>110073.25</v>
      </c>
      <c r="F45" s="62">
        <v>6109065.375</v>
      </c>
      <c r="G45" s="60">
        <f>H45/B45</f>
        <v>110615.75</v>
      </c>
      <c r="H45" s="62">
        <v>6139174.125</v>
      </c>
      <c r="I45" s="91">
        <f>J45/B45</f>
        <v>111158.25</v>
      </c>
      <c r="J45" s="62">
        <v>6169282.875</v>
      </c>
      <c r="K45" s="96" t="s">
        <v>81</v>
      </c>
    </row>
    <row r="46" spans="1:11">
      <c r="A46" s="63" t="s">
        <v>82</v>
      </c>
      <c r="B46" s="64">
        <v>21.3</v>
      </c>
      <c r="C46" s="65"/>
      <c r="D46" s="66"/>
      <c r="E46" s="67">
        <f t="shared" ref="E46:E62" si="6">F46/B46</f>
        <v>153593.685</v>
      </c>
      <c r="F46" s="68">
        <v>3271545.4904999998</v>
      </c>
      <c r="G46" s="67">
        <f t="shared" ref="G46:G62" si="7">H46/B46</f>
        <v>151047.19</v>
      </c>
      <c r="H46" s="68">
        <v>3217305.1469999999</v>
      </c>
      <c r="I46" s="68"/>
      <c r="J46" s="68"/>
      <c r="K46" s="97" t="s">
        <v>83</v>
      </c>
    </row>
    <row r="47" spans="1:11">
      <c r="A47" s="63" t="s">
        <v>84</v>
      </c>
      <c r="B47" s="69">
        <v>37</v>
      </c>
      <c r="C47" s="70">
        <f t="shared" ref="C47:C62" si="8">D47/B47</f>
        <v>124178.25</v>
      </c>
      <c r="D47" s="71">
        <v>4594595.25</v>
      </c>
      <c r="E47" s="70">
        <f t="shared" si="6"/>
        <v>124720.75</v>
      </c>
      <c r="F47" s="71">
        <v>4614667.75</v>
      </c>
      <c r="G47" s="70">
        <f t="shared" si="7"/>
        <v>125263.25</v>
      </c>
      <c r="H47" s="72">
        <v>4634740.25</v>
      </c>
      <c r="I47" s="72"/>
      <c r="J47" s="72"/>
      <c r="K47" s="97" t="s">
        <v>83</v>
      </c>
    </row>
    <row r="48" spans="1:11">
      <c r="A48" s="63" t="s">
        <v>85</v>
      </c>
      <c r="B48" s="69">
        <v>55</v>
      </c>
      <c r="C48" s="73">
        <f t="shared" si="8"/>
        <v>110517.015</v>
      </c>
      <c r="D48" s="71">
        <v>6078435.8250000002</v>
      </c>
      <c r="E48" s="73">
        <f t="shared" si="6"/>
        <v>111059.515</v>
      </c>
      <c r="F48" s="71">
        <v>6108273.3250000002</v>
      </c>
      <c r="G48" s="73">
        <f t="shared" si="7"/>
        <v>110615.75</v>
      </c>
      <c r="H48" s="72">
        <v>6083866.25</v>
      </c>
      <c r="I48" s="72"/>
      <c r="J48" s="72"/>
      <c r="K48" s="97" t="s">
        <v>83</v>
      </c>
    </row>
    <row r="49" spans="1:11">
      <c r="A49" s="74" t="s">
        <v>86</v>
      </c>
      <c r="B49" s="75">
        <v>64.8</v>
      </c>
      <c r="C49" s="76">
        <f t="shared" si="8"/>
        <v>99409.87</v>
      </c>
      <c r="D49" s="77">
        <v>6441759.5760000004</v>
      </c>
      <c r="E49" s="76">
        <f t="shared" si="6"/>
        <v>99952.37</v>
      </c>
      <c r="F49" s="78">
        <v>6476913.5760000004</v>
      </c>
      <c r="G49" s="76">
        <f t="shared" si="7"/>
        <v>99657.25</v>
      </c>
      <c r="H49" s="79">
        <v>6457789.7999999998</v>
      </c>
      <c r="I49" s="98"/>
      <c r="J49" s="79"/>
      <c r="K49" s="99" t="s">
        <v>83</v>
      </c>
    </row>
    <row r="50" spans="1:11">
      <c r="A50" s="80" t="s">
        <v>87</v>
      </c>
      <c r="B50" s="64">
        <v>32.799999999999997</v>
      </c>
      <c r="C50" s="81">
        <f t="shared" si="8"/>
        <v>126348.25</v>
      </c>
      <c r="D50" s="68">
        <v>4144222.6</v>
      </c>
      <c r="E50" s="82">
        <f t="shared" si="6"/>
        <v>126890.75</v>
      </c>
      <c r="F50" s="68">
        <v>4162016.6</v>
      </c>
      <c r="G50" s="82">
        <f t="shared" si="7"/>
        <v>127433.25</v>
      </c>
      <c r="H50" s="71">
        <v>4179810.6</v>
      </c>
      <c r="I50" s="68"/>
      <c r="J50" s="68"/>
      <c r="K50" s="100" t="s">
        <v>81</v>
      </c>
    </row>
    <row r="51" spans="1:11">
      <c r="A51" s="63" t="s">
        <v>88</v>
      </c>
      <c r="B51" s="83">
        <v>34</v>
      </c>
      <c r="C51" s="82">
        <f t="shared" si="8"/>
        <v>126348.25</v>
      </c>
      <c r="D51" s="71">
        <v>4295840.5</v>
      </c>
      <c r="E51" s="82">
        <f t="shared" si="6"/>
        <v>126890.75</v>
      </c>
      <c r="F51" s="71">
        <v>4314285.5</v>
      </c>
      <c r="G51" s="82">
        <f t="shared" si="7"/>
        <v>127433.25</v>
      </c>
      <c r="H51" s="71">
        <v>4332730.5</v>
      </c>
      <c r="I51" s="71"/>
      <c r="J51" s="71"/>
      <c r="K51" s="101" t="s">
        <v>81</v>
      </c>
    </row>
    <row r="52" spans="1:11">
      <c r="A52" s="63" t="s">
        <v>88</v>
      </c>
      <c r="B52" s="83">
        <v>37</v>
      </c>
      <c r="C52" s="82">
        <f t="shared" si="8"/>
        <v>124178.25</v>
      </c>
      <c r="D52" s="71">
        <v>4594595.25</v>
      </c>
      <c r="E52" s="82">
        <f t="shared" si="6"/>
        <v>124720.75</v>
      </c>
      <c r="F52" s="71">
        <v>4614667.75</v>
      </c>
      <c r="G52" s="82">
        <f t="shared" si="7"/>
        <v>125263.25</v>
      </c>
      <c r="H52" s="71">
        <v>4634740.25</v>
      </c>
      <c r="I52" s="71"/>
      <c r="J52" s="71"/>
      <c r="K52" s="101" t="s">
        <v>81</v>
      </c>
    </row>
    <row r="53" spans="1:11">
      <c r="A53" s="63" t="s">
        <v>89</v>
      </c>
      <c r="B53" s="83">
        <v>51.1</v>
      </c>
      <c r="C53" s="82">
        <f t="shared" si="8"/>
        <v>112785.75</v>
      </c>
      <c r="D53" s="71">
        <v>5763351.8250000002</v>
      </c>
      <c r="E53" s="82">
        <f t="shared" si="6"/>
        <v>113328.25</v>
      </c>
      <c r="F53" s="71">
        <v>5791073.5750000002</v>
      </c>
      <c r="G53" s="82">
        <f t="shared" si="7"/>
        <v>113870.75</v>
      </c>
      <c r="H53" s="71">
        <v>5818795.3250000002</v>
      </c>
      <c r="I53" s="71"/>
      <c r="J53" s="71"/>
      <c r="K53" s="101" t="s">
        <v>81</v>
      </c>
    </row>
    <row r="54" spans="1:11">
      <c r="A54" s="63" t="s">
        <v>88</v>
      </c>
      <c r="B54" s="83">
        <v>55</v>
      </c>
      <c r="C54" s="82">
        <f t="shared" si="8"/>
        <v>109530.75</v>
      </c>
      <c r="D54" s="71">
        <v>6024191.25</v>
      </c>
      <c r="E54" s="82">
        <f t="shared" si="6"/>
        <v>110073.25</v>
      </c>
      <c r="F54" s="71">
        <v>6054028.75</v>
      </c>
      <c r="G54" s="82">
        <f t="shared" si="7"/>
        <v>110615.75</v>
      </c>
      <c r="H54" s="71">
        <v>6083866.25</v>
      </c>
      <c r="I54" s="71"/>
      <c r="J54" s="71"/>
      <c r="K54" s="101" t="s">
        <v>81</v>
      </c>
    </row>
    <row r="55" spans="1:11">
      <c r="A55" s="84" t="s">
        <v>89</v>
      </c>
      <c r="B55" s="85">
        <v>56.5</v>
      </c>
      <c r="C55" s="86">
        <f t="shared" si="8"/>
        <v>109530.75</v>
      </c>
      <c r="D55" s="77">
        <v>6188487.375</v>
      </c>
      <c r="E55" s="76">
        <f t="shared" si="6"/>
        <v>110073.25</v>
      </c>
      <c r="F55" s="78">
        <v>6219138.625</v>
      </c>
      <c r="G55" s="76">
        <f t="shared" si="7"/>
        <v>110615.75</v>
      </c>
      <c r="H55" s="79">
        <v>6249789.875</v>
      </c>
      <c r="I55" s="102"/>
      <c r="J55" s="103"/>
      <c r="K55" s="104" t="s">
        <v>81</v>
      </c>
    </row>
    <row r="56" spans="1:11">
      <c r="A56" s="80" t="s">
        <v>90</v>
      </c>
      <c r="B56" s="64">
        <v>21.3</v>
      </c>
      <c r="C56" s="81">
        <f t="shared" si="8"/>
        <v>149962.19</v>
      </c>
      <c r="D56" s="81">
        <f>2943958.2*1.085</f>
        <v>3194194.6469999999</v>
      </c>
      <c r="E56" s="81">
        <f t="shared" si="6"/>
        <v>150504.69</v>
      </c>
      <c r="F56" s="68">
        <v>3205749.8969999999</v>
      </c>
      <c r="G56" s="81">
        <f t="shared" si="7"/>
        <v>151047.19</v>
      </c>
      <c r="H56" s="68">
        <v>3217305.1469999999</v>
      </c>
      <c r="I56" s="68"/>
      <c r="J56" s="68"/>
      <c r="K56" s="100" t="s">
        <v>83</v>
      </c>
    </row>
    <row r="57" spans="1:11">
      <c r="A57" s="63" t="s">
        <v>91</v>
      </c>
      <c r="B57" s="83">
        <v>24.3</v>
      </c>
      <c r="C57" s="71"/>
      <c r="D57" s="71"/>
      <c r="E57" s="82">
        <f t="shared" si="6"/>
        <v>147439.65179999999</v>
      </c>
      <c r="F57" s="71">
        <v>3582783.5387400002</v>
      </c>
      <c r="G57" s="82">
        <f t="shared" si="7"/>
        <v>147982.15179999999</v>
      </c>
      <c r="H57" s="71">
        <v>3595966.2887400002</v>
      </c>
      <c r="I57" s="71"/>
      <c r="J57" s="71"/>
      <c r="K57" s="101" t="s">
        <v>83</v>
      </c>
    </row>
    <row r="58" spans="1:11">
      <c r="A58" s="63" t="s">
        <v>92</v>
      </c>
      <c r="B58" s="83">
        <v>37</v>
      </c>
      <c r="C58" s="82">
        <f>D58/B58</f>
        <v>124178.25</v>
      </c>
      <c r="D58" s="82">
        <f>4234650*1.085</f>
        <v>4594595.25</v>
      </c>
      <c r="E58" s="82">
        <f t="shared" si="6"/>
        <v>124720.75</v>
      </c>
      <c r="F58" s="71">
        <v>4614667.75</v>
      </c>
      <c r="G58" s="82">
        <f t="shared" si="7"/>
        <v>125263.25</v>
      </c>
      <c r="H58" s="71">
        <v>4634740.25</v>
      </c>
      <c r="I58" s="71"/>
      <c r="J58" s="71"/>
      <c r="K58" s="101" t="s">
        <v>83</v>
      </c>
    </row>
    <row r="59" spans="1:11">
      <c r="A59" s="63" t="s">
        <v>91</v>
      </c>
      <c r="B59" s="83">
        <v>37.700000000000003</v>
      </c>
      <c r="C59" s="82">
        <f>D59/B59</f>
        <v>124178.25</v>
      </c>
      <c r="D59" s="82">
        <f>4314765*1.085</f>
        <v>4681520.0250000004</v>
      </c>
      <c r="E59" s="82">
        <f t="shared" si="6"/>
        <v>124720.75</v>
      </c>
      <c r="F59" s="71">
        <v>4701972.2750000004</v>
      </c>
      <c r="G59" s="82">
        <f t="shared" si="7"/>
        <v>125263.25</v>
      </c>
      <c r="H59" s="71">
        <v>4722424.5250000004</v>
      </c>
      <c r="I59" s="71"/>
      <c r="J59" s="71"/>
      <c r="K59" s="101" t="s">
        <v>83</v>
      </c>
    </row>
    <row r="60" spans="1:11">
      <c r="A60" s="87" t="s">
        <v>92</v>
      </c>
      <c r="B60" s="88">
        <v>55</v>
      </c>
      <c r="C60" s="89">
        <f>D60/B60</f>
        <v>109530.75</v>
      </c>
      <c r="D60" s="89">
        <f>5552250*1.085</f>
        <v>6024191.25</v>
      </c>
      <c r="E60" s="89">
        <f t="shared" si="6"/>
        <v>110073.25</v>
      </c>
      <c r="F60" s="90">
        <v>6054028.75</v>
      </c>
      <c r="G60" s="89">
        <f t="shared" si="7"/>
        <v>110615.75</v>
      </c>
      <c r="H60" s="90">
        <v>6083866.25</v>
      </c>
      <c r="I60" s="90"/>
      <c r="J60" s="90"/>
      <c r="K60" s="106" t="s">
        <v>83</v>
      </c>
    </row>
    <row r="61" spans="1:11">
      <c r="A61" s="58" t="s">
        <v>93</v>
      </c>
      <c r="B61" s="59">
        <v>64.5</v>
      </c>
      <c r="C61" s="91">
        <f t="shared" si="8"/>
        <v>99409.87</v>
      </c>
      <c r="D61" s="62">
        <v>6411936.6150000002</v>
      </c>
      <c r="E61" s="91">
        <f t="shared" si="6"/>
        <v>99952.37</v>
      </c>
      <c r="F61" s="62">
        <v>6446927.8650000002</v>
      </c>
      <c r="G61" s="92"/>
      <c r="H61" s="92"/>
      <c r="I61" s="92"/>
      <c r="J61" s="92"/>
      <c r="K61" s="96" t="s">
        <v>83</v>
      </c>
    </row>
    <row r="62" spans="1:11">
      <c r="A62" s="58" t="s">
        <v>94</v>
      </c>
      <c r="B62" s="59">
        <v>64.5</v>
      </c>
      <c r="C62" s="91">
        <f t="shared" si="8"/>
        <v>101579.87</v>
      </c>
      <c r="D62" s="62">
        <v>6551901.6150000002</v>
      </c>
      <c r="E62" s="91">
        <f t="shared" si="6"/>
        <v>102122.37</v>
      </c>
      <c r="F62" s="62">
        <v>6586892.8650000002</v>
      </c>
      <c r="G62" s="93">
        <f t="shared" si="7"/>
        <v>102664.87</v>
      </c>
      <c r="H62" s="94">
        <v>6621884.1150000002</v>
      </c>
      <c r="I62" s="92"/>
      <c r="J62" s="92"/>
      <c r="K62" s="96" t="s">
        <v>83</v>
      </c>
    </row>
  </sheetData>
  <pageMargins left="0.31496062992126" right="0.31496062992126" top="0.35433070866141703" bottom="0.35433070866141703" header="0.31496062992126" footer="0.31496062992126"/>
  <pageSetup paperSize="9" scale="7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87"/>
  <sheetViews>
    <sheetView topLeftCell="A40" zoomScale="90" zoomScaleNormal="90" workbookViewId="0">
      <selection activeCell="A64" sqref="A64"/>
    </sheetView>
  </sheetViews>
  <sheetFormatPr defaultColWidth="8.85546875" defaultRowHeight="15"/>
  <cols>
    <col min="1" max="1" width="36.140625" customWidth="1"/>
    <col min="2" max="2" width="9.85546875" style="3" customWidth="1"/>
    <col min="3" max="3" width="12.7109375" style="3" customWidth="1"/>
    <col min="4" max="4" width="11.42578125" style="3" customWidth="1"/>
    <col min="5" max="5" width="12.42578125" style="3" customWidth="1"/>
    <col min="6" max="6" width="12" style="3" customWidth="1"/>
    <col min="7" max="7" width="14.140625" style="3" customWidth="1"/>
    <col min="8" max="8" width="12.42578125" style="3" customWidth="1"/>
    <col min="9" max="9" width="13.140625" style="3" customWidth="1"/>
    <col min="10" max="10" width="12" style="3" customWidth="1"/>
    <col min="11" max="11" width="17.140625" style="3" customWidth="1"/>
    <col min="12" max="12" width="14.140625" customWidth="1"/>
    <col min="14" max="14" width="8.85546875" customWidth="1"/>
    <col min="16" max="16" width="8.85546875" customWidth="1"/>
  </cols>
  <sheetData>
    <row r="1" spans="1:13" s="1" customFormat="1" ht="18.75">
      <c r="A1" s="239" t="s">
        <v>124</v>
      </c>
      <c r="E1" s="4"/>
      <c r="F1" s="4"/>
      <c r="G1" s="4"/>
      <c r="H1" s="4"/>
      <c r="I1" s="4"/>
      <c r="J1" s="4"/>
      <c r="K1" s="4"/>
    </row>
    <row r="2" spans="1:13" ht="46.5" customHeight="1">
      <c r="A2" s="56" t="s">
        <v>41</v>
      </c>
      <c r="B2" s="57" t="s">
        <v>77</v>
      </c>
      <c r="C2" s="57" t="s">
        <v>43</v>
      </c>
      <c r="D2" s="57" t="s">
        <v>44</v>
      </c>
      <c r="E2" s="57" t="s">
        <v>45</v>
      </c>
      <c r="F2" s="57" t="s">
        <v>44</v>
      </c>
      <c r="G2" s="57" t="s">
        <v>78</v>
      </c>
      <c r="H2" s="57" t="s">
        <v>44</v>
      </c>
      <c r="I2" s="57" t="s">
        <v>79</v>
      </c>
      <c r="J2" s="57" t="s">
        <v>44</v>
      </c>
      <c r="K2" s="95" t="s">
        <v>7</v>
      </c>
    </row>
    <row r="3" spans="1:13">
      <c r="A3" s="58" t="s">
        <v>80</v>
      </c>
      <c r="B3" s="59">
        <v>55.5</v>
      </c>
      <c r="C3" s="60">
        <v>100950</v>
      </c>
      <c r="D3" s="61">
        <f>C3*B3</f>
        <v>5602725</v>
      </c>
      <c r="E3" s="60">
        <v>101450</v>
      </c>
      <c r="F3" s="62">
        <f>E3*B3</f>
        <v>5630475</v>
      </c>
      <c r="G3" s="60">
        <v>101950</v>
      </c>
      <c r="H3" s="62">
        <f t="shared" ref="H3:H5" si="0">G3*B3</f>
        <v>5658225</v>
      </c>
      <c r="I3" s="91">
        <v>102450</v>
      </c>
      <c r="J3" s="62">
        <f t="shared" ref="J3" si="1">I3*B3</f>
        <v>5685975</v>
      </c>
      <c r="K3" s="96" t="s">
        <v>81</v>
      </c>
    </row>
    <row r="4" spans="1:13">
      <c r="A4" s="63" t="s">
        <v>82</v>
      </c>
      <c r="B4" s="64">
        <v>21.3</v>
      </c>
      <c r="C4" s="65"/>
      <c r="D4" s="66"/>
      <c r="E4" s="67">
        <v>141561</v>
      </c>
      <c r="F4" s="68">
        <f t="shared" ref="F4:F20" si="2">E4*B4</f>
        <v>3015249.3</v>
      </c>
      <c r="G4" s="67">
        <v>139214</v>
      </c>
      <c r="H4" s="68">
        <f t="shared" si="0"/>
        <v>2965258.2</v>
      </c>
      <c r="I4" s="68"/>
      <c r="J4" s="68"/>
      <c r="K4" s="97" t="s">
        <v>83</v>
      </c>
    </row>
    <row r="5" spans="1:13">
      <c r="A5" s="63" t="s">
        <v>84</v>
      </c>
      <c r="B5" s="69">
        <v>37</v>
      </c>
      <c r="C5" s="70">
        <v>114450</v>
      </c>
      <c r="D5" s="71">
        <f t="shared" ref="D5:D14" si="3">C5*B5</f>
        <v>4234650</v>
      </c>
      <c r="E5" s="70">
        <v>114950</v>
      </c>
      <c r="F5" s="71">
        <f t="shared" si="2"/>
        <v>4253150</v>
      </c>
      <c r="G5" s="70">
        <v>115450</v>
      </c>
      <c r="H5" s="72">
        <f t="shared" si="0"/>
        <v>4271650</v>
      </c>
      <c r="I5" s="72"/>
      <c r="J5" s="72"/>
      <c r="K5" s="97" t="s">
        <v>83</v>
      </c>
    </row>
    <row r="6" spans="1:13">
      <c r="A6" s="63" t="s">
        <v>85</v>
      </c>
      <c r="B6" s="69">
        <v>55</v>
      </c>
      <c r="C6" s="73">
        <v>101859</v>
      </c>
      <c r="D6" s="71">
        <f t="shared" si="3"/>
        <v>5602245</v>
      </c>
      <c r="E6" s="73">
        <v>102359</v>
      </c>
      <c r="F6" s="71">
        <f t="shared" si="2"/>
        <v>5629745</v>
      </c>
      <c r="G6" s="73">
        <v>101950</v>
      </c>
      <c r="H6" s="72">
        <f t="shared" ref="H6" si="4">G6*B6</f>
        <v>5607250</v>
      </c>
      <c r="I6" s="72"/>
      <c r="J6" s="72"/>
      <c r="K6" s="97" t="s">
        <v>83</v>
      </c>
    </row>
    <row r="7" spans="1:13">
      <c r="A7" s="74" t="s">
        <v>86</v>
      </c>
      <c r="B7" s="75">
        <v>64.8</v>
      </c>
      <c r="C7" s="76">
        <v>91622</v>
      </c>
      <c r="D7" s="77">
        <f t="shared" si="3"/>
        <v>5937105.5999999996</v>
      </c>
      <c r="E7" s="76">
        <v>92122</v>
      </c>
      <c r="F7" s="78">
        <f t="shared" si="2"/>
        <v>5969505.5999999996</v>
      </c>
      <c r="G7" s="76">
        <v>91850</v>
      </c>
      <c r="H7" s="79">
        <f t="shared" ref="H7:H10" si="5">G7*B7</f>
        <v>5951880</v>
      </c>
      <c r="I7" s="98"/>
      <c r="J7" s="79"/>
      <c r="K7" s="99" t="s">
        <v>83</v>
      </c>
    </row>
    <row r="8" spans="1:13">
      <c r="A8" s="80" t="s">
        <v>87</v>
      </c>
      <c r="B8" s="64">
        <v>32.799999999999997</v>
      </c>
      <c r="C8" s="81">
        <v>116450</v>
      </c>
      <c r="D8" s="68">
        <f t="shared" si="3"/>
        <v>3819560</v>
      </c>
      <c r="E8" s="82">
        <v>116950</v>
      </c>
      <c r="F8" s="68">
        <f t="shared" si="2"/>
        <v>3835960</v>
      </c>
      <c r="G8" s="82">
        <v>117450</v>
      </c>
      <c r="H8" s="71">
        <f t="shared" si="5"/>
        <v>3852360</v>
      </c>
      <c r="I8" s="68"/>
      <c r="J8" s="68"/>
      <c r="K8" s="100" t="s">
        <v>81</v>
      </c>
    </row>
    <row r="9" spans="1:13">
      <c r="A9" s="63" t="s">
        <v>88</v>
      </c>
      <c r="B9" s="83">
        <v>34</v>
      </c>
      <c r="C9" s="82">
        <v>116450</v>
      </c>
      <c r="D9" s="71">
        <f t="shared" si="3"/>
        <v>3959300</v>
      </c>
      <c r="E9" s="82">
        <v>116950</v>
      </c>
      <c r="F9" s="71">
        <f t="shared" si="2"/>
        <v>3976300</v>
      </c>
      <c r="G9" s="82">
        <v>117450</v>
      </c>
      <c r="H9" s="71">
        <f t="shared" si="5"/>
        <v>3993300</v>
      </c>
      <c r="I9" s="71"/>
      <c r="J9" s="71"/>
      <c r="K9" s="101" t="s">
        <v>81</v>
      </c>
    </row>
    <row r="10" spans="1:13">
      <c r="A10" s="63" t="s">
        <v>88</v>
      </c>
      <c r="B10" s="83">
        <v>37</v>
      </c>
      <c r="C10" s="82">
        <v>114450</v>
      </c>
      <c r="D10" s="71">
        <f t="shared" si="3"/>
        <v>4234650</v>
      </c>
      <c r="E10" s="82">
        <v>114950</v>
      </c>
      <c r="F10" s="71">
        <f t="shared" si="2"/>
        <v>4253150</v>
      </c>
      <c r="G10" s="82">
        <v>115450</v>
      </c>
      <c r="H10" s="71">
        <f t="shared" si="5"/>
        <v>4271650</v>
      </c>
      <c r="I10" s="71"/>
      <c r="J10" s="71"/>
      <c r="K10" s="101" t="s">
        <v>81</v>
      </c>
    </row>
    <row r="11" spans="1:13">
      <c r="A11" s="63" t="s">
        <v>89</v>
      </c>
      <c r="B11" s="83">
        <v>51.1</v>
      </c>
      <c r="C11" s="82">
        <v>103950</v>
      </c>
      <c r="D11" s="71">
        <f t="shared" si="3"/>
        <v>5311845</v>
      </c>
      <c r="E11" s="82">
        <v>104450</v>
      </c>
      <c r="F11" s="71">
        <f t="shared" si="2"/>
        <v>5337395</v>
      </c>
      <c r="G11" s="82">
        <v>104950</v>
      </c>
      <c r="H11" s="71">
        <f t="shared" ref="H11:H12" si="6">G11*B11</f>
        <v>5362945</v>
      </c>
      <c r="I11" s="71"/>
      <c r="J11" s="71"/>
      <c r="K11" s="101" t="s">
        <v>81</v>
      </c>
    </row>
    <row r="12" spans="1:13">
      <c r="A12" s="63" t="s">
        <v>88</v>
      </c>
      <c r="B12" s="83">
        <v>55</v>
      </c>
      <c r="C12" s="82">
        <v>100950</v>
      </c>
      <c r="D12" s="71">
        <f t="shared" si="3"/>
        <v>5552250</v>
      </c>
      <c r="E12" s="82">
        <v>101450</v>
      </c>
      <c r="F12" s="71">
        <f t="shared" si="2"/>
        <v>5579750</v>
      </c>
      <c r="G12" s="82">
        <v>101950</v>
      </c>
      <c r="H12" s="71">
        <f t="shared" si="6"/>
        <v>5607250</v>
      </c>
      <c r="I12" s="71"/>
      <c r="J12" s="71"/>
      <c r="K12" s="101" t="s">
        <v>81</v>
      </c>
    </row>
    <row r="13" spans="1:13">
      <c r="A13" s="84" t="s">
        <v>89</v>
      </c>
      <c r="B13" s="85">
        <v>56.5</v>
      </c>
      <c r="C13" s="86">
        <v>100950</v>
      </c>
      <c r="D13" s="77">
        <f t="shared" si="3"/>
        <v>5703675</v>
      </c>
      <c r="E13" s="76">
        <v>101450</v>
      </c>
      <c r="F13" s="78">
        <f t="shared" si="2"/>
        <v>5731925</v>
      </c>
      <c r="G13" s="76">
        <v>101950</v>
      </c>
      <c r="H13" s="79">
        <f t="shared" ref="H13:H18" si="7">G13*B13</f>
        <v>5760175</v>
      </c>
      <c r="I13" s="102"/>
      <c r="J13" s="103"/>
      <c r="K13" s="104" t="s">
        <v>81</v>
      </c>
    </row>
    <row r="14" spans="1:13">
      <c r="A14" s="80" t="s">
        <v>90</v>
      </c>
      <c r="B14" s="64">
        <v>21.3</v>
      </c>
      <c r="C14" s="81">
        <f>E14-500</f>
        <v>138214</v>
      </c>
      <c r="D14" s="81">
        <f t="shared" si="3"/>
        <v>2943958.2</v>
      </c>
      <c r="E14" s="81">
        <f>G14-500</f>
        <v>138714</v>
      </c>
      <c r="F14" s="68">
        <f t="shared" si="2"/>
        <v>2954608.2</v>
      </c>
      <c r="G14" s="81">
        <v>139214</v>
      </c>
      <c r="H14" s="68">
        <f t="shared" si="7"/>
        <v>2965258.2</v>
      </c>
      <c r="I14" s="68"/>
      <c r="J14" s="68"/>
      <c r="K14" s="100" t="s">
        <v>83</v>
      </c>
      <c r="M14" s="45"/>
    </row>
    <row r="15" spans="1:13">
      <c r="A15" s="63" t="s">
        <v>91</v>
      </c>
      <c r="B15" s="83">
        <v>24.3</v>
      </c>
      <c r="C15" s="71"/>
      <c r="D15" s="71"/>
      <c r="E15" s="82">
        <f>G15-500</f>
        <v>135889.07999999999</v>
      </c>
      <c r="F15" s="71">
        <f t="shared" si="2"/>
        <v>3302104.6439999999</v>
      </c>
      <c r="G15" s="82">
        <v>136389.07999999999</v>
      </c>
      <c r="H15" s="71">
        <f t="shared" si="7"/>
        <v>3314254.6439999999</v>
      </c>
      <c r="I15" s="71"/>
      <c r="J15" s="71"/>
      <c r="K15" s="101" t="s">
        <v>83</v>
      </c>
      <c r="M15" s="45"/>
    </row>
    <row r="16" spans="1:13">
      <c r="A16" s="63" t="s">
        <v>92</v>
      </c>
      <c r="B16" s="83">
        <v>37</v>
      </c>
      <c r="C16" s="82">
        <f>E16-500</f>
        <v>114450</v>
      </c>
      <c r="D16" s="82">
        <f>C16*B16</f>
        <v>4234650</v>
      </c>
      <c r="E16" s="82">
        <f>G16-500</f>
        <v>114950</v>
      </c>
      <c r="F16" s="71">
        <f t="shared" si="2"/>
        <v>4253150</v>
      </c>
      <c r="G16" s="82">
        <v>115450</v>
      </c>
      <c r="H16" s="71">
        <f t="shared" si="7"/>
        <v>4271650</v>
      </c>
      <c r="I16" s="71"/>
      <c r="J16" s="71"/>
      <c r="K16" s="101" t="s">
        <v>83</v>
      </c>
      <c r="L16" s="105"/>
      <c r="M16" s="45"/>
    </row>
    <row r="17" spans="1:13">
      <c r="A17" s="63" t="s">
        <v>91</v>
      </c>
      <c r="B17" s="83">
        <v>37.700000000000003</v>
      </c>
      <c r="C17" s="82">
        <f>E17-500</f>
        <v>114450</v>
      </c>
      <c r="D17" s="82">
        <f t="shared" ref="D17:D20" si="8">C17*B17</f>
        <v>4314765</v>
      </c>
      <c r="E17" s="82">
        <f>G17-500</f>
        <v>114950</v>
      </c>
      <c r="F17" s="71">
        <f t="shared" si="2"/>
        <v>4333615</v>
      </c>
      <c r="G17" s="82">
        <v>115450</v>
      </c>
      <c r="H17" s="71">
        <f t="shared" si="7"/>
        <v>4352465</v>
      </c>
      <c r="I17" s="71"/>
      <c r="J17" s="71"/>
      <c r="K17" s="101" t="s">
        <v>83</v>
      </c>
      <c r="L17" s="105"/>
      <c r="M17" s="45"/>
    </row>
    <row r="18" spans="1:13">
      <c r="A18" s="87" t="s">
        <v>92</v>
      </c>
      <c r="B18" s="88">
        <v>55</v>
      </c>
      <c r="C18" s="89">
        <f>E18-500</f>
        <v>100950</v>
      </c>
      <c r="D18" s="82">
        <f t="shared" si="8"/>
        <v>5552250</v>
      </c>
      <c r="E18" s="89">
        <f>G18-500</f>
        <v>101450</v>
      </c>
      <c r="F18" s="90">
        <f t="shared" si="2"/>
        <v>5579750</v>
      </c>
      <c r="G18" s="89">
        <v>101950</v>
      </c>
      <c r="H18" s="90">
        <f t="shared" si="7"/>
        <v>5607250</v>
      </c>
      <c r="I18" s="90"/>
      <c r="J18" s="90"/>
      <c r="K18" s="106" t="s">
        <v>83</v>
      </c>
      <c r="L18" s="105"/>
      <c r="M18" s="45"/>
    </row>
    <row r="19" spans="1:13">
      <c r="A19" s="58" t="s">
        <v>93</v>
      </c>
      <c r="B19" s="59">
        <v>64.5</v>
      </c>
      <c r="C19" s="91">
        <f>91622</f>
        <v>91622</v>
      </c>
      <c r="D19" s="62">
        <f t="shared" si="8"/>
        <v>5909619</v>
      </c>
      <c r="E19" s="91">
        <v>92122</v>
      </c>
      <c r="F19" s="62">
        <f t="shared" si="2"/>
        <v>5941869</v>
      </c>
      <c r="G19" s="92"/>
      <c r="H19" s="92"/>
      <c r="I19" s="92"/>
      <c r="J19" s="92"/>
      <c r="K19" s="96" t="s">
        <v>83</v>
      </c>
    </row>
    <row r="20" spans="1:13">
      <c r="A20" s="58" t="s">
        <v>94</v>
      </c>
      <c r="B20" s="59">
        <v>64.5</v>
      </c>
      <c r="C20" s="91">
        <f>91622+2000</f>
        <v>93622</v>
      </c>
      <c r="D20" s="62">
        <f t="shared" si="8"/>
        <v>6038619</v>
      </c>
      <c r="E20" s="91">
        <f>92122+2000</f>
        <v>94122</v>
      </c>
      <c r="F20" s="62">
        <f t="shared" si="2"/>
        <v>6070869</v>
      </c>
      <c r="G20" s="93">
        <f>94122+500</f>
        <v>94622</v>
      </c>
      <c r="H20" s="94">
        <f>G20*B20</f>
        <v>6103119</v>
      </c>
      <c r="I20" s="92"/>
      <c r="J20" s="92"/>
      <c r="K20" s="96" t="s">
        <v>83</v>
      </c>
    </row>
    <row r="21" spans="1:13" s="1" customFormat="1" ht="27.75" customHeight="1">
      <c r="A21" s="239" t="s">
        <v>125</v>
      </c>
      <c r="E21" s="4"/>
      <c r="G21" s="4"/>
      <c r="H21" s="4"/>
      <c r="I21" s="4"/>
      <c r="J21" s="4"/>
      <c r="K21" s="4"/>
    </row>
    <row r="22" spans="1:13" ht="52.5" customHeight="1">
      <c r="A22" s="56" t="s">
        <v>41</v>
      </c>
      <c r="B22" s="57" t="s">
        <v>77</v>
      </c>
      <c r="C22" s="57" t="s">
        <v>43</v>
      </c>
      <c r="D22" s="57" t="s">
        <v>44</v>
      </c>
      <c r="E22" s="57" t="s">
        <v>45</v>
      </c>
      <c r="F22" s="57" t="s">
        <v>44</v>
      </c>
      <c r="G22" s="57" t="s">
        <v>78</v>
      </c>
      <c r="H22" s="57" t="s">
        <v>44</v>
      </c>
      <c r="I22" s="57" t="s">
        <v>79</v>
      </c>
      <c r="J22" s="57" t="s">
        <v>44</v>
      </c>
      <c r="K22" s="95" t="s">
        <v>7</v>
      </c>
    </row>
    <row r="23" spans="1:13">
      <c r="A23" s="58" t="s">
        <v>80</v>
      </c>
      <c r="B23" s="59">
        <v>55.5</v>
      </c>
      <c r="C23" s="60">
        <f>D23/B23</f>
        <v>116092.5</v>
      </c>
      <c r="D23" s="61">
        <v>6443133.75</v>
      </c>
      <c r="E23" s="60">
        <f>F23/B23</f>
        <v>116667.5</v>
      </c>
      <c r="F23" s="62">
        <v>6475046.25</v>
      </c>
      <c r="G23" s="60">
        <f>H23/B23</f>
        <v>117242.5</v>
      </c>
      <c r="H23" s="62">
        <v>6506958.75</v>
      </c>
      <c r="I23" s="91">
        <f>J23/B23</f>
        <v>117817.5</v>
      </c>
      <c r="J23" s="62">
        <v>6538871.25</v>
      </c>
      <c r="K23" s="96" t="s">
        <v>81</v>
      </c>
    </row>
    <row r="24" spans="1:13">
      <c r="A24" s="63" t="s">
        <v>82</v>
      </c>
      <c r="B24" s="64">
        <v>21.3</v>
      </c>
      <c r="C24" s="65"/>
      <c r="D24" s="66"/>
      <c r="E24" s="67">
        <f t="shared" ref="E24:E33" si="9">F24/B24</f>
        <v>162795.15</v>
      </c>
      <c r="F24" s="68">
        <v>3467536.6949999998</v>
      </c>
      <c r="G24" s="67">
        <f t="shared" ref="G24:G38" si="10">H24/B24</f>
        <v>160096.1</v>
      </c>
      <c r="H24" s="68">
        <v>3410046.93</v>
      </c>
      <c r="I24" s="68"/>
      <c r="J24" s="68"/>
      <c r="K24" s="97" t="s">
        <v>83</v>
      </c>
    </row>
    <row r="25" spans="1:13">
      <c r="A25" s="63" t="s">
        <v>84</v>
      </c>
      <c r="B25" s="69">
        <v>37</v>
      </c>
      <c r="C25" s="70">
        <f>D25/B25</f>
        <v>131617.5</v>
      </c>
      <c r="D25" s="71">
        <v>4869847.5</v>
      </c>
      <c r="E25" s="70">
        <f t="shared" si="9"/>
        <v>132192.5</v>
      </c>
      <c r="F25" s="71">
        <v>4891122.5</v>
      </c>
      <c r="G25" s="70">
        <f t="shared" si="10"/>
        <v>132767.5</v>
      </c>
      <c r="H25" s="72">
        <v>4912397.5</v>
      </c>
      <c r="I25" s="72"/>
      <c r="J25" s="72"/>
      <c r="K25" s="97" t="s">
        <v>83</v>
      </c>
    </row>
    <row r="26" spans="1:13">
      <c r="A26" s="63" t="s">
        <v>85</v>
      </c>
      <c r="B26" s="69">
        <v>55</v>
      </c>
      <c r="C26" s="73">
        <f t="shared" ref="C26:C34" si="11">D26/B26</f>
        <v>117137.85</v>
      </c>
      <c r="D26" s="71">
        <v>6442581.75</v>
      </c>
      <c r="E26" s="73">
        <f t="shared" si="9"/>
        <v>117712.85</v>
      </c>
      <c r="F26" s="71">
        <v>6474206.75</v>
      </c>
      <c r="G26" s="73">
        <f t="shared" si="10"/>
        <v>117242.5</v>
      </c>
      <c r="H26" s="72">
        <v>6448337.5</v>
      </c>
      <c r="I26" s="72"/>
      <c r="J26" s="72"/>
      <c r="K26" s="97" t="s">
        <v>83</v>
      </c>
    </row>
    <row r="27" spans="1:13">
      <c r="A27" s="74" t="s">
        <v>86</v>
      </c>
      <c r="B27" s="75">
        <v>64.8</v>
      </c>
      <c r="C27" s="76">
        <f t="shared" si="11"/>
        <v>105365.3</v>
      </c>
      <c r="D27" s="77">
        <v>6827671.4400000004</v>
      </c>
      <c r="E27" s="76">
        <f t="shared" si="9"/>
        <v>105940.3</v>
      </c>
      <c r="F27" s="78">
        <v>6864931.4400000004</v>
      </c>
      <c r="G27" s="76">
        <f t="shared" si="10"/>
        <v>105627.5</v>
      </c>
      <c r="H27" s="79">
        <v>6844662</v>
      </c>
      <c r="I27" s="98"/>
      <c r="J27" s="79"/>
      <c r="K27" s="99" t="s">
        <v>83</v>
      </c>
    </row>
    <row r="28" spans="1:13">
      <c r="A28" s="80" t="s">
        <v>87</v>
      </c>
      <c r="B28" s="64">
        <v>32.799999999999997</v>
      </c>
      <c r="C28" s="81">
        <f t="shared" si="11"/>
        <v>133917.5</v>
      </c>
      <c r="D28" s="68">
        <v>4392494</v>
      </c>
      <c r="E28" s="82">
        <f t="shared" si="9"/>
        <v>134492.5</v>
      </c>
      <c r="F28" s="68">
        <v>4411354</v>
      </c>
      <c r="G28" s="82">
        <f t="shared" si="10"/>
        <v>135067.5</v>
      </c>
      <c r="H28" s="71">
        <v>4430214</v>
      </c>
      <c r="I28" s="68"/>
      <c r="J28" s="68"/>
      <c r="K28" s="100" t="s">
        <v>81</v>
      </c>
    </row>
    <row r="29" spans="1:13">
      <c r="A29" s="63" t="s">
        <v>88</v>
      </c>
      <c r="B29" s="83">
        <v>34</v>
      </c>
      <c r="C29" s="82">
        <f t="shared" si="11"/>
        <v>133917.5</v>
      </c>
      <c r="D29" s="71">
        <v>4553195</v>
      </c>
      <c r="E29" s="82">
        <f t="shared" si="9"/>
        <v>134492.5</v>
      </c>
      <c r="F29" s="71">
        <v>4572745</v>
      </c>
      <c r="G29" s="82">
        <f t="shared" si="10"/>
        <v>135067.5</v>
      </c>
      <c r="H29" s="71">
        <v>4592295</v>
      </c>
      <c r="I29" s="71"/>
      <c r="J29" s="71"/>
      <c r="K29" s="101" t="s">
        <v>81</v>
      </c>
    </row>
    <row r="30" spans="1:13">
      <c r="A30" s="63" t="s">
        <v>88</v>
      </c>
      <c r="B30" s="83">
        <v>37</v>
      </c>
      <c r="C30" s="82">
        <f t="shared" si="11"/>
        <v>131617.5</v>
      </c>
      <c r="D30" s="71">
        <v>4869847.5</v>
      </c>
      <c r="E30" s="82">
        <f t="shared" si="9"/>
        <v>132192.5</v>
      </c>
      <c r="F30" s="71">
        <v>4891122.5</v>
      </c>
      <c r="G30" s="82">
        <f t="shared" si="10"/>
        <v>132767.5</v>
      </c>
      <c r="H30" s="71">
        <v>4912397.5</v>
      </c>
      <c r="I30" s="71"/>
      <c r="J30" s="71"/>
      <c r="K30" s="101" t="s">
        <v>81</v>
      </c>
    </row>
    <row r="31" spans="1:13">
      <c r="A31" s="63" t="s">
        <v>89</v>
      </c>
      <c r="B31" s="83">
        <v>51.1</v>
      </c>
      <c r="C31" s="82">
        <f t="shared" si="11"/>
        <v>119542.5</v>
      </c>
      <c r="D31" s="71">
        <v>6108621.75</v>
      </c>
      <c r="E31" s="82">
        <f t="shared" si="9"/>
        <v>120117.5</v>
      </c>
      <c r="F31" s="71">
        <v>6138004.25</v>
      </c>
      <c r="G31" s="82">
        <f t="shared" si="10"/>
        <v>120692.5</v>
      </c>
      <c r="H31" s="71">
        <v>6167386.75</v>
      </c>
      <c r="I31" s="71"/>
      <c r="J31" s="71"/>
      <c r="K31" s="101" t="s">
        <v>81</v>
      </c>
    </row>
    <row r="32" spans="1:13">
      <c r="A32" s="63" t="s">
        <v>88</v>
      </c>
      <c r="B32" s="83">
        <v>55</v>
      </c>
      <c r="C32" s="82">
        <f t="shared" si="11"/>
        <v>116092.5</v>
      </c>
      <c r="D32" s="71">
        <v>6385087.5</v>
      </c>
      <c r="E32" s="82">
        <f t="shared" si="9"/>
        <v>116667.5</v>
      </c>
      <c r="F32" s="71">
        <v>6416712.5</v>
      </c>
      <c r="G32" s="82">
        <f t="shared" si="10"/>
        <v>117242.5</v>
      </c>
      <c r="H32" s="71">
        <v>6448337.5</v>
      </c>
      <c r="I32" s="71"/>
      <c r="J32" s="71"/>
      <c r="K32" s="101" t="s">
        <v>81</v>
      </c>
    </row>
    <row r="33" spans="1:15">
      <c r="A33" s="84" t="s">
        <v>89</v>
      </c>
      <c r="B33" s="85">
        <v>56.5</v>
      </c>
      <c r="C33" s="86">
        <f t="shared" si="11"/>
        <v>116092.5</v>
      </c>
      <c r="D33" s="77">
        <v>6559226.25</v>
      </c>
      <c r="E33" s="76">
        <f t="shared" si="9"/>
        <v>116667.5</v>
      </c>
      <c r="F33" s="78">
        <v>6591713.75</v>
      </c>
      <c r="G33" s="76">
        <f t="shared" si="10"/>
        <v>117242.5</v>
      </c>
      <c r="H33" s="79">
        <v>6624201.25</v>
      </c>
      <c r="I33" s="102"/>
      <c r="J33" s="103"/>
      <c r="K33" s="104" t="s">
        <v>81</v>
      </c>
    </row>
    <row r="34" spans="1:15">
      <c r="A34" s="80" t="s">
        <v>90</v>
      </c>
      <c r="B34" s="64">
        <v>21.3</v>
      </c>
      <c r="C34" s="81">
        <f t="shared" si="11"/>
        <v>158946.1</v>
      </c>
      <c r="D34" s="81">
        <f>2943958.2*1.15</f>
        <v>3385551.93</v>
      </c>
      <c r="E34" s="81">
        <f t="shared" ref="E34:E40" si="12">F34/B34</f>
        <v>159521.1</v>
      </c>
      <c r="F34" s="68">
        <f>2954608.2*1.15</f>
        <v>3397799.43</v>
      </c>
      <c r="G34" s="81">
        <f t="shared" si="10"/>
        <v>160096.1</v>
      </c>
      <c r="H34" s="68">
        <v>3410046.93</v>
      </c>
      <c r="I34" s="68"/>
      <c r="J34" s="68"/>
      <c r="K34" s="100" t="s">
        <v>83</v>
      </c>
      <c r="L34" s="105"/>
      <c r="O34" s="45"/>
    </row>
    <row r="35" spans="1:15">
      <c r="A35" s="63" t="s">
        <v>91</v>
      </c>
      <c r="B35" s="83">
        <v>24.3</v>
      </c>
      <c r="C35" s="71"/>
      <c r="D35" s="71"/>
      <c r="E35" s="82">
        <f t="shared" si="12"/>
        <v>156272.44200000001</v>
      </c>
      <c r="F35" s="71">
        <f>3302104.644*1.15</f>
        <v>3797420.3406000002</v>
      </c>
      <c r="G35" s="82">
        <f t="shared" si="10"/>
        <v>156847.44200000001</v>
      </c>
      <c r="H35" s="71">
        <f>H15*1.15</f>
        <v>3811392.8406000002</v>
      </c>
      <c r="I35" s="71"/>
      <c r="J35" s="71"/>
      <c r="K35" s="101" t="s">
        <v>83</v>
      </c>
      <c r="L35" s="105"/>
      <c r="O35" s="45"/>
    </row>
    <row r="36" spans="1:15">
      <c r="A36" s="63" t="s">
        <v>92</v>
      </c>
      <c r="B36" s="83">
        <v>37</v>
      </c>
      <c r="C36" s="82">
        <f>D36/B36</f>
        <v>131617.5</v>
      </c>
      <c r="D36" s="82">
        <f>4234650*1.15</f>
        <v>4869847.5</v>
      </c>
      <c r="E36" s="82">
        <f t="shared" si="12"/>
        <v>132192.5</v>
      </c>
      <c r="F36" s="71">
        <f>4253150*1.15</f>
        <v>4891122.5</v>
      </c>
      <c r="G36" s="82">
        <f t="shared" si="10"/>
        <v>132767.5</v>
      </c>
      <c r="H36" s="71">
        <v>4912397.5</v>
      </c>
      <c r="I36" s="71"/>
      <c r="J36" s="71"/>
      <c r="K36" s="101" t="s">
        <v>83</v>
      </c>
      <c r="L36" s="105"/>
      <c r="O36" s="45"/>
    </row>
    <row r="37" spans="1:15">
      <c r="A37" s="63" t="s">
        <v>91</v>
      </c>
      <c r="B37" s="83">
        <v>37.700000000000003</v>
      </c>
      <c r="C37" s="82">
        <f>D37/B37</f>
        <v>131617.5</v>
      </c>
      <c r="D37" s="82">
        <f>4314765*1.15</f>
        <v>4961979.75</v>
      </c>
      <c r="E37" s="82">
        <f t="shared" si="12"/>
        <v>132192.5</v>
      </c>
      <c r="F37" s="71">
        <f>4333615*1.15</f>
        <v>4983657.25</v>
      </c>
      <c r="G37" s="82">
        <f t="shared" si="10"/>
        <v>132767.5</v>
      </c>
      <c r="H37" s="71">
        <v>5005334.75</v>
      </c>
      <c r="I37" s="71"/>
      <c r="J37" s="71"/>
      <c r="K37" s="101" t="s">
        <v>83</v>
      </c>
      <c r="L37" s="105"/>
      <c r="O37" s="45"/>
    </row>
    <row r="38" spans="1:15">
      <c r="A38" s="84" t="s">
        <v>92</v>
      </c>
      <c r="B38" s="75">
        <v>55</v>
      </c>
      <c r="C38" s="76">
        <f>D38/B38</f>
        <v>116092.5</v>
      </c>
      <c r="D38" s="76">
        <f>5552250*1.15</f>
        <v>6385087.5</v>
      </c>
      <c r="E38" s="76">
        <f t="shared" si="12"/>
        <v>116667.5</v>
      </c>
      <c r="F38" s="79">
        <f>5579750*1.15</f>
        <v>6416712.5</v>
      </c>
      <c r="G38" s="76">
        <f t="shared" si="10"/>
        <v>117242.5</v>
      </c>
      <c r="H38" s="79">
        <v>6448337.5</v>
      </c>
      <c r="I38" s="79"/>
      <c r="J38" s="79"/>
      <c r="K38" s="99" t="s">
        <v>83</v>
      </c>
      <c r="L38" s="105"/>
      <c r="O38" s="45"/>
    </row>
    <row r="39" spans="1:15">
      <c r="A39" s="58" t="s">
        <v>93</v>
      </c>
      <c r="B39" s="59">
        <v>64.5</v>
      </c>
      <c r="C39" s="91">
        <f>D39/B39</f>
        <v>105365.3</v>
      </c>
      <c r="D39" s="62">
        <f>5909619*1.15</f>
        <v>6796061.8499999996</v>
      </c>
      <c r="E39" s="91">
        <f t="shared" si="12"/>
        <v>105940.3</v>
      </c>
      <c r="F39" s="62">
        <f>5941869*1.15</f>
        <v>6833149.3499999996</v>
      </c>
      <c r="G39" s="92"/>
      <c r="H39" s="92"/>
      <c r="I39" s="92"/>
      <c r="J39" s="92"/>
      <c r="K39" s="96" t="s">
        <v>83</v>
      </c>
    </row>
    <row r="40" spans="1:15">
      <c r="A40" s="58" t="s">
        <v>94</v>
      </c>
      <c r="B40" s="59">
        <v>64.5</v>
      </c>
      <c r="C40" s="91">
        <f>D40/B40</f>
        <v>107665.3</v>
      </c>
      <c r="D40" s="62">
        <f>6038619*1.15</f>
        <v>6944411.8499999996</v>
      </c>
      <c r="E40" s="91">
        <f t="shared" si="12"/>
        <v>108240.3</v>
      </c>
      <c r="F40" s="62">
        <f>6070869*1.15</f>
        <v>6981499.3499999996</v>
      </c>
      <c r="G40" s="93">
        <f>H40/B40</f>
        <v>108815.3</v>
      </c>
      <c r="H40" s="94">
        <f>6103119*1.15</f>
        <v>7018586.8499999996</v>
      </c>
      <c r="I40" s="92"/>
      <c r="J40" s="92"/>
      <c r="K40" s="96" t="s">
        <v>83</v>
      </c>
    </row>
    <row r="42" spans="1:15" ht="18.75">
      <c r="A42" s="239" t="s">
        <v>126</v>
      </c>
      <c r="B42" s="1"/>
      <c r="C42" s="1"/>
      <c r="D42" s="1"/>
      <c r="E42" s="4"/>
      <c r="F42" s="1"/>
      <c r="G42" s="4"/>
      <c r="H42" s="4"/>
      <c r="I42" s="4"/>
      <c r="J42" s="4"/>
      <c r="K42" s="4"/>
    </row>
    <row r="43" spans="1:15" ht="45">
      <c r="A43" s="56" t="s">
        <v>41</v>
      </c>
      <c r="B43" s="57" t="s">
        <v>77</v>
      </c>
      <c r="C43" s="57" t="s">
        <v>43</v>
      </c>
      <c r="D43" s="57" t="s">
        <v>44</v>
      </c>
      <c r="E43" s="57" t="s">
        <v>45</v>
      </c>
      <c r="F43" s="57" t="s">
        <v>44</v>
      </c>
      <c r="G43" s="57" t="s">
        <v>78</v>
      </c>
      <c r="H43" s="57" t="s">
        <v>44</v>
      </c>
      <c r="I43" s="57" t="s">
        <v>79</v>
      </c>
      <c r="J43" s="57" t="s">
        <v>44</v>
      </c>
      <c r="K43" s="95" t="s">
        <v>7</v>
      </c>
    </row>
    <row r="44" spans="1:15">
      <c r="A44" s="58" t="s">
        <v>80</v>
      </c>
      <c r="B44" s="59">
        <v>55.5</v>
      </c>
      <c r="C44" s="60">
        <f>D44/B44</f>
        <v>121140</v>
      </c>
      <c r="D44" s="61">
        <v>6723270</v>
      </c>
      <c r="E44" s="60">
        <f>F44/B44</f>
        <v>121740</v>
      </c>
      <c r="F44" s="62">
        <v>6756570</v>
      </c>
      <c r="G44" s="60">
        <f>H44/B44</f>
        <v>122340</v>
      </c>
      <c r="H44" s="62">
        <v>6789870</v>
      </c>
      <c r="I44" s="91">
        <f>J44/B44</f>
        <v>122940</v>
      </c>
      <c r="J44" s="62">
        <v>6823170</v>
      </c>
      <c r="K44" s="96" t="s">
        <v>81</v>
      </c>
    </row>
    <row r="45" spans="1:15">
      <c r="A45" s="63" t="s">
        <v>82</v>
      </c>
      <c r="B45" s="64">
        <v>21.3</v>
      </c>
      <c r="C45" s="65"/>
      <c r="D45" s="66"/>
      <c r="E45" s="67">
        <f t="shared" ref="E45:E54" si="13">F45/B45</f>
        <v>169873.2</v>
      </c>
      <c r="F45" s="68">
        <v>3618299.16</v>
      </c>
      <c r="G45" s="67">
        <f t="shared" ref="G45:G59" si="14">H45/B45</f>
        <v>167056.79999999999</v>
      </c>
      <c r="H45" s="68">
        <v>3558309.84</v>
      </c>
      <c r="I45" s="68"/>
      <c r="J45" s="68"/>
      <c r="K45" s="97" t="s">
        <v>83</v>
      </c>
    </row>
    <row r="46" spans="1:15">
      <c r="A46" s="63" t="s">
        <v>84</v>
      </c>
      <c r="B46" s="69">
        <v>37</v>
      </c>
      <c r="C46" s="70">
        <f>D46/B46</f>
        <v>137340</v>
      </c>
      <c r="D46" s="71">
        <v>5081580</v>
      </c>
      <c r="E46" s="70">
        <f t="shared" si="13"/>
        <v>137940</v>
      </c>
      <c r="F46" s="71">
        <v>5103780</v>
      </c>
      <c r="G46" s="70">
        <f t="shared" si="14"/>
        <v>138540</v>
      </c>
      <c r="H46" s="72">
        <v>5125980</v>
      </c>
      <c r="I46" s="72"/>
      <c r="J46" s="72"/>
      <c r="K46" s="97" t="s">
        <v>83</v>
      </c>
    </row>
    <row r="47" spans="1:15">
      <c r="A47" s="63" t="s">
        <v>85</v>
      </c>
      <c r="B47" s="69">
        <v>55</v>
      </c>
      <c r="C47" s="73">
        <f t="shared" ref="C47:C55" si="15">D47/B47</f>
        <v>122230.8</v>
      </c>
      <c r="D47" s="71">
        <v>6722694</v>
      </c>
      <c r="E47" s="73">
        <f t="shared" si="13"/>
        <v>122830.8</v>
      </c>
      <c r="F47" s="71">
        <v>6755694</v>
      </c>
      <c r="G47" s="73">
        <f t="shared" si="14"/>
        <v>122340</v>
      </c>
      <c r="H47" s="72">
        <v>6728700</v>
      </c>
      <c r="I47" s="72"/>
      <c r="J47" s="72"/>
      <c r="K47" s="97" t="s">
        <v>83</v>
      </c>
    </row>
    <row r="48" spans="1:15">
      <c r="A48" s="74" t="s">
        <v>86</v>
      </c>
      <c r="B48" s="75">
        <v>64.8</v>
      </c>
      <c r="C48" s="76">
        <f t="shared" si="15"/>
        <v>109946.4</v>
      </c>
      <c r="D48" s="77">
        <v>7124526.7199999997</v>
      </c>
      <c r="E48" s="76">
        <f t="shared" si="13"/>
        <v>110546.4</v>
      </c>
      <c r="F48" s="78">
        <v>7163406.7199999997</v>
      </c>
      <c r="G48" s="76">
        <f t="shared" si="14"/>
        <v>110220</v>
      </c>
      <c r="H48" s="79">
        <v>7142256</v>
      </c>
      <c r="I48" s="98"/>
      <c r="J48" s="79"/>
      <c r="K48" s="99" t="s">
        <v>83</v>
      </c>
    </row>
    <row r="49" spans="1:12">
      <c r="A49" s="80" t="s">
        <v>87</v>
      </c>
      <c r="B49" s="64">
        <v>32.799999999999997</v>
      </c>
      <c r="C49" s="81">
        <f t="shared" si="15"/>
        <v>139740</v>
      </c>
      <c r="D49" s="68">
        <v>4583472</v>
      </c>
      <c r="E49" s="82">
        <f t="shared" si="13"/>
        <v>140340</v>
      </c>
      <c r="F49" s="68">
        <v>4603152</v>
      </c>
      <c r="G49" s="82">
        <f t="shared" si="14"/>
        <v>140940</v>
      </c>
      <c r="H49" s="71">
        <v>4622832</v>
      </c>
      <c r="I49" s="68"/>
      <c r="J49" s="68"/>
      <c r="K49" s="100" t="s">
        <v>81</v>
      </c>
    </row>
    <row r="50" spans="1:12">
      <c r="A50" s="63" t="s">
        <v>88</v>
      </c>
      <c r="B50" s="83">
        <v>34</v>
      </c>
      <c r="C50" s="82">
        <f t="shared" si="15"/>
        <v>139740</v>
      </c>
      <c r="D50" s="71">
        <v>4751160</v>
      </c>
      <c r="E50" s="82">
        <f t="shared" si="13"/>
        <v>140340</v>
      </c>
      <c r="F50" s="71">
        <v>4771560</v>
      </c>
      <c r="G50" s="82">
        <f t="shared" si="14"/>
        <v>140940</v>
      </c>
      <c r="H50" s="71">
        <v>4791960</v>
      </c>
      <c r="I50" s="71"/>
      <c r="J50" s="71"/>
      <c r="K50" s="101" t="s">
        <v>81</v>
      </c>
    </row>
    <row r="51" spans="1:12">
      <c r="A51" s="63" t="s">
        <v>88</v>
      </c>
      <c r="B51" s="83">
        <v>37</v>
      </c>
      <c r="C51" s="82">
        <f t="shared" si="15"/>
        <v>137340</v>
      </c>
      <c r="D51" s="71">
        <v>5081580</v>
      </c>
      <c r="E51" s="82">
        <f t="shared" si="13"/>
        <v>137940</v>
      </c>
      <c r="F51" s="71">
        <v>5103780</v>
      </c>
      <c r="G51" s="82">
        <f t="shared" si="14"/>
        <v>138540</v>
      </c>
      <c r="H51" s="71">
        <v>5125980</v>
      </c>
      <c r="I51" s="71"/>
      <c r="J51" s="71"/>
      <c r="K51" s="101" t="s">
        <v>81</v>
      </c>
    </row>
    <row r="52" spans="1:12">
      <c r="A52" s="63" t="s">
        <v>89</v>
      </c>
      <c r="B52" s="83">
        <v>51.1</v>
      </c>
      <c r="C52" s="82">
        <f t="shared" si="15"/>
        <v>124740</v>
      </c>
      <c r="D52" s="71">
        <v>6374214</v>
      </c>
      <c r="E52" s="82">
        <f t="shared" si="13"/>
        <v>125340</v>
      </c>
      <c r="F52" s="71">
        <v>6404874</v>
      </c>
      <c r="G52" s="82">
        <f t="shared" si="14"/>
        <v>125940</v>
      </c>
      <c r="H52" s="71">
        <v>6435534</v>
      </c>
      <c r="I52" s="71"/>
      <c r="J52" s="71"/>
      <c r="K52" s="101" t="s">
        <v>81</v>
      </c>
    </row>
    <row r="53" spans="1:12">
      <c r="A53" s="63" t="s">
        <v>88</v>
      </c>
      <c r="B53" s="83">
        <v>55</v>
      </c>
      <c r="C53" s="82">
        <f t="shared" si="15"/>
        <v>121140</v>
      </c>
      <c r="D53" s="71">
        <v>6662700</v>
      </c>
      <c r="E53" s="82">
        <f t="shared" si="13"/>
        <v>121740</v>
      </c>
      <c r="F53" s="71">
        <v>6695700</v>
      </c>
      <c r="G53" s="82">
        <f t="shared" si="14"/>
        <v>122340</v>
      </c>
      <c r="H53" s="71">
        <v>6728700</v>
      </c>
      <c r="I53" s="71"/>
      <c r="J53" s="71"/>
      <c r="K53" s="101" t="s">
        <v>81</v>
      </c>
    </row>
    <row r="54" spans="1:12">
      <c r="A54" s="84" t="s">
        <v>89</v>
      </c>
      <c r="B54" s="85">
        <v>56.5</v>
      </c>
      <c r="C54" s="86">
        <f t="shared" si="15"/>
        <v>121140</v>
      </c>
      <c r="D54" s="77">
        <v>6844410</v>
      </c>
      <c r="E54" s="76">
        <f t="shared" si="13"/>
        <v>121740</v>
      </c>
      <c r="F54" s="78">
        <v>6878310</v>
      </c>
      <c r="G54" s="76">
        <f t="shared" si="14"/>
        <v>122340</v>
      </c>
      <c r="H54" s="79">
        <v>6912210</v>
      </c>
      <c r="I54" s="102"/>
      <c r="J54" s="103"/>
      <c r="K54" s="104" t="s">
        <v>81</v>
      </c>
    </row>
    <row r="55" spans="1:12">
      <c r="A55" s="80" t="s">
        <v>90</v>
      </c>
      <c r="B55" s="64">
        <v>21.3</v>
      </c>
      <c r="C55" s="81">
        <f t="shared" si="15"/>
        <v>165856.79999999999</v>
      </c>
      <c r="D55" s="81">
        <f>2943958.2*1.2</f>
        <v>3532749.84</v>
      </c>
      <c r="E55" s="81">
        <f t="shared" ref="E55:E61" si="16">F55/B55</f>
        <v>166456.79999999999</v>
      </c>
      <c r="F55" s="68">
        <f>2954608.2*1.2</f>
        <v>3545529.84</v>
      </c>
      <c r="G55" s="81">
        <f t="shared" si="14"/>
        <v>167056.79999999999</v>
      </c>
      <c r="H55" s="68">
        <v>3558309.84</v>
      </c>
      <c r="I55" s="68"/>
      <c r="J55" s="68"/>
      <c r="K55" s="100" t="s">
        <v>83</v>
      </c>
    </row>
    <row r="56" spans="1:12">
      <c r="A56" s="63" t="s">
        <v>91</v>
      </c>
      <c r="B56" s="83">
        <v>24.3</v>
      </c>
      <c r="C56" s="71"/>
      <c r="D56" s="71"/>
      <c r="E56" s="82">
        <f t="shared" si="16"/>
        <v>163066.89600000001</v>
      </c>
      <c r="F56" s="71">
        <f>3302104.644*1.2</f>
        <v>3962525.5728000002</v>
      </c>
      <c r="G56" s="82">
        <f t="shared" si="14"/>
        <v>163666.89600000001</v>
      </c>
      <c r="H56" s="71">
        <f>H15*1.2</f>
        <v>3977105.5728000002</v>
      </c>
      <c r="I56" s="71"/>
      <c r="J56" s="71"/>
      <c r="K56" s="101" t="s">
        <v>83</v>
      </c>
    </row>
    <row r="57" spans="1:12">
      <c r="A57" s="63" t="s">
        <v>92</v>
      </c>
      <c r="B57" s="83">
        <v>37</v>
      </c>
      <c r="C57" s="82">
        <f>D57/B57</f>
        <v>137340</v>
      </c>
      <c r="D57" s="82">
        <f>4234650*1.2</f>
        <v>5081580</v>
      </c>
      <c r="E57" s="82">
        <f t="shared" si="16"/>
        <v>137940</v>
      </c>
      <c r="F57" s="71">
        <f>4253150*1.2</f>
        <v>5103780</v>
      </c>
      <c r="G57" s="82">
        <f t="shared" si="14"/>
        <v>138540</v>
      </c>
      <c r="H57" s="71">
        <v>5125980</v>
      </c>
      <c r="I57" s="71"/>
      <c r="J57" s="71"/>
      <c r="K57" s="101" t="s">
        <v>83</v>
      </c>
      <c r="L57" s="105"/>
    </row>
    <row r="58" spans="1:12">
      <c r="A58" s="63" t="s">
        <v>91</v>
      </c>
      <c r="B58" s="83">
        <v>37.700000000000003</v>
      </c>
      <c r="C58" s="82">
        <f>D58/B58</f>
        <v>137340</v>
      </c>
      <c r="D58" s="82">
        <f>4314765*1.2</f>
        <v>5177718</v>
      </c>
      <c r="E58" s="82">
        <f t="shared" si="16"/>
        <v>137940</v>
      </c>
      <c r="F58" s="71">
        <f>4333615*1.2</f>
        <v>5200338</v>
      </c>
      <c r="G58" s="82">
        <f t="shared" si="14"/>
        <v>138540</v>
      </c>
      <c r="H58" s="71">
        <v>5222958</v>
      </c>
      <c r="I58" s="71"/>
      <c r="J58" s="71"/>
      <c r="K58" s="101" t="s">
        <v>83</v>
      </c>
      <c r="L58" s="105"/>
    </row>
    <row r="59" spans="1:12">
      <c r="A59" s="84" t="s">
        <v>92</v>
      </c>
      <c r="B59" s="75">
        <v>55</v>
      </c>
      <c r="C59" s="76">
        <f>D59/B59</f>
        <v>121140</v>
      </c>
      <c r="D59" s="76">
        <f>5552250*1.2</f>
        <v>6662700</v>
      </c>
      <c r="E59" s="76">
        <f t="shared" si="16"/>
        <v>121740</v>
      </c>
      <c r="F59" s="79">
        <f>5579750*1.2</f>
        <v>6695700</v>
      </c>
      <c r="G59" s="76">
        <f t="shared" si="14"/>
        <v>122340</v>
      </c>
      <c r="H59" s="79">
        <v>6728700</v>
      </c>
      <c r="I59" s="79"/>
      <c r="J59" s="79"/>
      <c r="K59" s="99" t="s">
        <v>83</v>
      </c>
      <c r="L59" s="105"/>
    </row>
    <row r="60" spans="1:12">
      <c r="A60" s="58" t="s">
        <v>93</v>
      </c>
      <c r="B60" s="59">
        <v>64.5</v>
      </c>
      <c r="C60" s="91">
        <f>D60/B60</f>
        <v>109946.4</v>
      </c>
      <c r="D60" s="62">
        <f>5909619*1.2</f>
        <v>7091542.7999999998</v>
      </c>
      <c r="E60" s="91">
        <f t="shared" si="16"/>
        <v>110546.4</v>
      </c>
      <c r="F60" s="62">
        <f>5941869*1.2</f>
        <v>7130242.7999999998</v>
      </c>
      <c r="G60" s="92"/>
      <c r="H60" s="92"/>
      <c r="I60" s="92"/>
      <c r="J60" s="92"/>
      <c r="K60" s="96" t="s">
        <v>83</v>
      </c>
    </row>
    <row r="61" spans="1:12">
      <c r="A61" s="58" t="s">
        <v>94</v>
      </c>
      <c r="B61" s="59">
        <v>64.5</v>
      </c>
      <c r="C61" s="91">
        <f>D61/B61</f>
        <v>112346.4</v>
      </c>
      <c r="D61" s="62">
        <f>6038619*1.2</f>
        <v>7246342.7999999998</v>
      </c>
      <c r="E61" s="91">
        <f t="shared" si="16"/>
        <v>112946.4</v>
      </c>
      <c r="F61" s="62">
        <f>6070869*1.2</f>
        <v>7285042.7999999998</v>
      </c>
      <c r="G61" s="93">
        <f>H61/B61</f>
        <v>113546.4</v>
      </c>
      <c r="H61" s="94">
        <f>6103119*1.2</f>
        <v>7323742.7999999998</v>
      </c>
      <c r="I61" s="92"/>
      <c r="J61" s="92"/>
      <c r="K61" s="96" t="s">
        <v>83</v>
      </c>
    </row>
    <row r="63" spans="1:12" ht="18.75">
      <c r="A63" s="239" t="s">
        <v>127</v>
      </c>
      <c r="B63" s="1"/>
      <c r="C63" s="1"/>
      <c r="D63" s="1"/>
      <c r="E63" s="4"/>
      <c r="F63" s="4"/>
      <c r="G63" s="4"/>
      <c r="H63" s="4"/>
      <c r="I63" s="4"/>
      <c r="J63" s="4"/>
      <c r="K63" s="4"/>
    </row>
    <row r="64" spans="1:12" ht="45">
      <c r="A64" s="56" t="s">
        <v>41</v>
      </c>
      <c r="B64" s="57" t="s">
        <v>77</v>
      </c>
      <c r="C64" s="57" t="s">
        <v>43</v>
      </c>
      <c r="D64" s="57" t="s">
        <v>44</v>
      </c>
      <c r="E64" s="57" t="s">
        <v>45</v>
      </c>
      <c r="F64" s="57" t="s">
        <v>44</v>
      </c>
      <c r="G64" s="57" t="s">
        <v>78</v>
      </c>
      <c r="H64" s="57" t="s">
        <v>44</v>
      </c>
      <c r="I64" s="57" t="s">
        <v>79</v>
      </c>
      <c r="J64" s="57" t="s">
        <v>44</v>
      </c>
      <c r="K64" s="95" t="s">
        <v>7</v>
      </c>
    </row>
    <row r="65" spans="1:15">
      <c r="A65" s="58" t="s">
        <v>80</v>
      </c>
      <c r="B65" s="59">
        <v>55.5</v>
      </c>
      <c r="C65" s="60">
        <f>D65/B65</f>
        <v>95902.5</v>
      </c>
      <c r="D65" s="61">
        <v>5322588.75</v>
      </c>
      <c r="E65" s="60">
        <f>F65/B65</f>
        <v>96377.5</v>
      </c>
      <c r="F65" s="62">
        <v>5348951.25</v>
      </c>
      <c r="G65" s="60">
        <f>H65/B65</f>
        <v>96852.5</v>
      </c>
      <c r="H65" s="62">
        <v>5375313.75</v>
      </c>
      <c r="I65" s="91">
        <f>J65/B65</f>
        <v>97327.5</v>
      </c>
      <c r="J65" s="62">
        <v>5401676.25</v>
      </c>
      <c r="K65" s="96" t="s">
        <v>81</v>
      </c>
    </row>
    <row r="66" spans="1:15">
      <c r="A66" s="63" t="s">
        <v>82</v>
      </c>
      <c r="B66" s="64">
        <v>21.3</v>
      </c>
      <c r="C66" s="65"/>
      <c r="D66" s="66"/>
      <c r="E66" s="67">
        <f t="shared" ref="E66:E75" si="17">F66/B66</f>
        <v>134482.95000000001</v>
      </c>
      <c r="F66" s="68">
        <v>2864486.835</v>
      </c>
      <c r="G66" s="67">
        <f t="shared" ref="G66:G80" si="18">H66/B66</f>
        <v>132253.29999999999</v>
      </c>
      <c r="H66" s="68">
        <v>2816995.29</v>
      </c>
      <c r="I66" s="68"/>
      <c r="J66" s="68"/>
      <c r="K66" s="97" t="s">
        <v>83</v>
      </c>
    </row>
    <row r="67" spans="1:15">
      <c r="A67" s="63" t="s">
        <v>84</v>
      </c>
      <c r="B67" s="69">
        <v>37</v>
      </c>
      <c r="C67" s="70">
        <f t="shared" ref="C67:C76" si="19">D67/B67</f>
        <v>108727.5</v>
      </c>
      <c r="D67" s="71">
        <v>4022917.5</v>
      </c>
      <c r="E67" s="70">
        <f t="shared" si="17"/>
        <v>109202.5</v>
      </c>
      <c r="F67" s="71">
        <v>4040492.5</v>
      </c>
      <c r="G67" s="70">
        <f t="shared" si="18"/>
        <v>109677.5</v>
      </c>
      <c r="H67" s="72">
        <v>4058067.5</v>
      </c>
      <c r="I67" s="72"/>
      <c r="J67" s="72"/>
      <c r="K67" s="97" t="s">
        <v>83</v>
      </c>
    </row>
    <row r="68" spans="1:15">
      <c r="A68" s="63" t="s">
        <v>85</v>
      </c>
      <c r="B68" s="69">
        <v>55</v>
      </c>
      <c r="C68" s="73">
        <f t="shared" si="19"/>
        <v>96766.05</v>
      </c>
      <c r="D68" s="71">
        <v>5322132.75</v>
      </c>
      <c r="E68" s="73">
        <f t="shared" si="17"/>
        <v>97241.05</v>
      </c>
      <c r="F68" s="71">
        <v>5348257.75</v>
      </c>
      <c r="G68" s="73">
        <f t="shared" si="18"/>
        <v>96852.5</v>
      </c>
      <c r="H68" s="72">
        <v>5326887.5</v>
      </c>
      <c r="I68" s="72"/>
      <c r="J68" s="72"/>
      <c r="K68" s="97" t="s">
        <v>83</v>
      </c>
    </row>
    <row r="69" spans="1:15">
      <c r="A69" s="74" t="s">
        <v>86</v>
      </c>
      <c r="B69" s="75">
        <v>64.8</v>
      </c>
      <c r="C69" s="76">
        <f t="shared" si="19"/>
        <v>87040.9</v>
      </c>
      <c r="D69" s="77">
        <v>5640250.3200000003</v>
      </c>
      <c r="E69" s="76">
        <f t="shared" si="17"/>
        <v>87515.9</v>
      </c>
      <c r="F69" s="78">
        <v>5671030.3200000003</v>
      </c>
      <c r="G69" s="76">
        <f t="shared" si="18"/>
        <v>87257.5</v>
      </c>
      <c r="H69" s="79">
        <v>5654286</v>
      </c>
      <c r="I69" s="98"/>
      <c r="J69" s="79"/>
      <c r="K69" s="99" t="s">
        <v>83</v>
      </c>
    </row>
    <row r="70" spans="1:15">
      <c r="A70" s="80" t="s">
        <v>87</v>
      </c>
      <c r="B70" s="64">
        <v>32.799999999999997</v>
      </c>
      <c r="C70" s="81">
        <f t="shared" si="19"/>
        <v>110627.5</v>
      </c>
      <c r="D70" s="68">
        <v>3628582</v>
      </c>
      <c r="E70" s="82">
        <f t="shared" si="17"/>
        <v>111102.5</v>
      </c>
      <c r="F70" s="68">
        <v>3644162</v>
      </c>
      <c r="G70" s="82">
        <f t="shared" si="18"/>
        <v>111577.5</v>
      </c>
      <c r="H70" s="71">
        <v>3659742</v>
      </c>
      <c r="I70" s="68"/>
      <c r="J70" s="68"/>
      <c r="K70" s="100" t="s">
        <v>81</v>
      </c>
    </row>
    <row r="71" spans="1:15">
      <c r="A71" s="63" t="s">
        <v>88</v>
      </c>
      <c r="B71" s="83">
        <v>34</v>
      </c>
      <c r="C71" s="82">
        <f t="shared" si="19"/>
        <v>110627.5</v>
      </c>
      <c r="D71" s="71">
        <v>3761335</v>
      </c>
      <c r="E71" s="82">
        <f t="shared" si="17"/>
        <v>111102.5</v>
      </c>
      <c r="F71" s="71">
        <v>3777485</v>
      </c>
      <c r="G71" s="82">
        <f t="shared" si="18"/>
        <v>111577.5</v>
      </c>
      <c r="H71" s="71">
        <v>3793635</v>
      </c>
      <c r="I71" s="71"/>
      <c r="J71" s="71"/>
      <c r="K71" s="101" t="s">
        <v>81</v>
      </c>
    </row>
    <row r="72" spans="1:15">
      <c r="A72" s="63" t="s">
        <v>88</v>
      </c>
      <c r="B72" s="83">
        <v>37</v>
      </c>
      <c r="C72" s="82">
        <f t="shared" si="19"/>
        <v>108727.5</v>
      </c>
      <c r="D72" s="71">
        <v>4022917.5</v>
      </c>
      <c r="E72" s="82">
        <f t="shared" si="17"/>
        <v>109202.5</v>
      </c>
      <c r="F72" s="71">
        <v>4040492.5</v>
      </c>
      <c r="G72" s="82">
        <f t="shared" si="18"/>
        <v>109677.5</v>
      </c>
      <c r="H72" s="71">
        <v>4058067.5</v>
      </c>
      <c r="I72" s="71"/>
      <c r="J72" s="71"/>
      <c r="K72" s="101" t="s">
        <v>81</v>
      </c>
    </row>
    <row r="73" spans="1:15">
      <c r="A73" s="63" t="s">
        <v>89</v>
      </c>
      <c r="B73" s="83">
        <v>51.1</v>
      </c>
      <c r="C73" s="82">
        <f t="shared" si="19"/>
        <v>98752.5</v>
      </c>
      <c r="D73" s="71">
        <v>5046252.75</v>
      </c>
      <c r="E73" s="82">
        <f t="shared" si="17"/>
        <v>99227.5</v>
      </c>
      <c r="F73" s="71">
        <v>5070525.25</v>
      </c>
      <c r="G73" s="82">
        <f t="shared" si="18"/>
        <v>99702.5</v>
      </c>
      <c r="H73" s="71">
        <v>5094797.75</v>
      </c>
      <c r="I73" s="71"/>
      <c r="J73" s="71"/>
      <c r="K73" s="101" t="s">
        <v>81</v>
      </c>
    </row>
    <row r="74" spans="1:15">
      <c r="A74" s="63" t="s">
        <v>88</v>
      </c>
      <c r="B74" s="83">
        <v>55</v>
      </c>
      <c r="C74" s="82">
        <f t="shared" si="19"/>
        <v>95902.5</v>
      </c>
      <c r="D74" s="71">
        <v>5274637.5</v>
      </c>
      <c r="E74" s="82">
        <f t="shared" si="17"/>
        <v>96377.5</v>
      </c>
      <c r="F74" s="71">
        <v>5300762.5</v>
      </c>
      <c r="G74" s="82">
        <f t="shared" si="18"/>
        <v>96852.5</v>
      </c>
      <c r="H74" s="71">
        <v>5326887.5</v>
      </c>
      <c r="I74" s="71"/>
      <c r="J74" s="71"/>
      <c r="K74" s="101" t="s">
        <v>81</v>
      </c>
    </row>
    <row r="75" spans="1:15">
      <c r="A75" s="84" t="s">
        <v>89</v>
      </c>
      <c r="B75" s="85">
        <v>56.5</v>
      </c>
      <c r="C75" s="86">
        <f t="shared" si="19"/>
        <v>95902.5</v>
      </c>
      <c r="D75" s="77">
        <v>5418491.25</v>
      </c>
      <c r="E75" s="76">
        <f t="shared" si="17"/>
        <v>96377.5</v>
      </c>
      <c r="F75" s="78">
        <v>5445328.75</v>
      </c>
      <c r="G75" s="76">
        <f t="shared" si="18"/>
        <v>96852.5</v>
      </c>
      <c r="H75" s="79">
        <v>5472166.25</v>
      </c>
      <c r="I75" s="102"/>
      <c r="J75" s="103"/>
      <c r="K75" s="104" t="s">
        <v>81</v>
      </c>
    </row>
    <row r="76" spans="1:15">
      <c r="A76" s="80" t="s">
        <v>90</v>
      </c>
      <c r="B76" s="64">
        <v>21.3</v>
      </c>
      <c r="C76" s="81">
        <f t="shared" si="19"/>
        <v>131303.29999999999</v>
      </c>
      <c r="D76" s="81">
        <f>2943958.2*0.95</f>
        <v>2796760.29</v>
      </c>
      <c r="E76" s="81">
        <f t="shared" ref="E76:E82" si="20">F76/B76</f>
        <v>131778.29999999999</v>
      </c>
      <c r="F76" s="68">
        <f>2954608.2*0.95</f>
        <v>2806877.79</v>
      </c>
      <c r="G76" s="81">
        <f t="shared" si="18"/>
        <v>132253.29999999999</v>
      </c>
      <c r="H76" s="68">
        <v>2816995.29</v>
      </c>
      <c r="I76" s="68"/>
      <c r="J76" s="68"/>
      <c r="K76" s="100" t="s">
        <v>83</v>
      </c>
      <c r="O76" s="45"/>
    </row>
    <row r="77" spans="1:15">
      <c r="A77" s="63" t="s">
        <v>91</v>
      </c>
      <c r="B77" s="83">
        <v>24.3</v>
      </c>
      <c r="C77" s="71"/>
      <c r="D77" s="71"/>
      <c r="E77" s="82">
        <f t="shared" si="20"/>
        <v>129094.626</v>
      </c>
      <c r="F77" s="71">
        <f>3302104.644*0.95</f>
        <v>3136999.4117999999</v>
      </c>
      <c r="G77" s="82">
        <f t="shared" si="18"/>
        <v>129569.626</v>
      </c>
      <c r="H77" s="71">
        <f>3314254.644*0.95</f>
        <v>3148541.9117999999</v>
      </c>
      <c r="I77" s="71"/>
      <c r="J77" s="71"/>
      <c r="K77" s="101" t="s">
        <v>83</v>
      </c>
      <c r="O77" s="45"/>
    </row>
    <row r="78" spans="1:15">
      <c r="A78" s="63" t="s">
        <v>92</v>
      </c>
      <c r="B78" s="83">
        <v>37</v>
      </c>
      <c r="C78" s="82">
        <f>D78/B78</f>
        <v>108727.5</v>
      </c>
      <c r="D78" s="82">
        <f>4234650*0.95</f>
        <v>4022917.5</v>
      </c>
      <c r="E78" s="82">
        <f t="shared" si="20"/>
        <v>109202.5</v>
      </c>
      <c r="F78" s="71">
        <f>4253150*0.95</f>
        <v>4040492.5</v>
      </c>
      <c r="G78" s="82">
        <f t="shared" si="18"/>
        <v>109677.5</v>
      </c>
      <c r="H78" s="71">
        <v>4058067.5</v>
      </c>
      <c r="I78" s="71"/>
      <c r="J78" s="71"/>
      <c r="K78" s="101" t="s">
        <v>83</v>
      </c>
      <c r="O78" s="45"/>
    </row>
    <row r="79" spans="1:15">
      <c r="A79" s="63" t="s">
        <v>91</v>
      </c>
      <c r="B79" s="83">
        <v>37.700000000000003</v>
      </c>
      <c r="C79" s="82">
        <f>D79/B79</f>
        <v>108727.5</v>
      </c>
      <c r="D79" s="82">
        <f>4314765*0.95</f>
        <v>4099026.75</v>
      </c>
      <c r="E79" s="82">
        <f t="shared" si="20"/>
        <v>109202.5</v>
      </c>
      <c r="F79" s="71">
        <f>4333615*0.95</f>
        <v>4116934.25</v>
      </c>
      <c r="G79" s="82">
        <f t="shared" si="18"/>
        <v>109677.5</v>
      </c>
      <c r="H79" s="71">
        <v>4134841.75</v>
      </c>
      <c r="I79" s="71"/>
      <c r="J79" s="71"/>
      <c r="K79" s="101" t="s">
        <v>83</v>
      </c>
      <c r="O79" s="45"/>
    </row>
    <row r="80" spans="1:15">
      <c r="A80" s="84" t="s">
        <v>92</v>
      </c>
      <c r="B80" s="75">
        <v>55</v>
      </c>
      <c r="C80" s="76">
        <f>D80/B80</f>
        <v>95902.5</v>
      </c>
      <c r="D80" s="76">
        <f>5552250*0.95</f>
        <v>5274637.5</v>
      </c>
      <c r="E80" s="76">
        <f t="shared" si="20"/>
        <v>96377.5</v>
      </c>
      <c r="F80" s="79">
        <f>5579750*0.95</f>
        <v>5300762.5</v>
      </c>
      <c r="G80" s="76">
        <f t="shared" si="18"/>
        <v>96852.5</v>
      </c>
      <c r="H80" s="79">
        <v>5326887.5</v>
      </c>
      <c r="I80" s="79"/>
      <c r="J80" s="79"/>
      <c r="K80" s="99" t="s">
        <v>83</v>
      </c>
      <c r="O80" s="45"/>
    </row>
    <row r="81" spans="1:12">
      <c r="A81" s="58" t="s">
        <v>93</v>
      </c>
      <c r="B81" s="59">
        <v>64.5</v>
      </c>
      <c r="C81" s="91">
        <f>D81/B81</f>
        <v>87040.9</v>
      </c>
      <c r="D81" s="62">
        <f>5909619*0.95</f>
        <v>5614138.0499999998</v>
      </c>
      <c r="E81" s="91">
        <f t="shared" si="20"/>
        <v>87515.9</v>
      </c>
      <c r="F81" s="62">
        <f>5941869*0.95</f>
        <v>5644775.5499999998</v>
      </c>
      <c r="G81" s="92"/>
      <c r="H81" s="92"/>
      <c r="I81" s="92"/>
      <c r="J81" s="92"/>
      <c r="K81" s="96"/>
    </row>
    <row r="82" spans="1:12">
      <c r="A82" s="58" t="s">
        <v>94</v>
      </c>
      <c r="B82" s="59">
        <v>64.5</v>
      </c>
      <c r="C82" s="91">
        <f>D82/B82</f>
        <v>88940.9</v>
      </c>
      <c r="D82" s="62">
        <f>6038619*0.95</f>
        <v>5736688.0499999998</v>
      </c>
      <c r="E82" s="91">
        <f t="shared" si="20"/>
        <v>89415.9</v>
      </c>
      <c r="F82" s="62">
        <f>6070869*0.95</f>
        <v>5767325.5499999998</v>
      </c>
      <c r="G82" s="93">
        <f>H82/B82</f>
        <v>89890.9</v>
      </c>
      <c r="H82" s="94">
        <f>6103119*0.95</f>
        <v>5797963.0499999998</v>
      </c>
      <c r="I82" s="92"/>
      <c r="J82" s="92"/>
      <c r="K82" s="96" t="s">
        <v>83</v>
      </c>
    </row>
    <row r="84" spans="1:12" ht="15.75">
      <c r="C84" s="207" t="s">
        <v>25</v>
      </c>
      <c r="D84" s="208"/>
      <c r="E84" s="208"/>
      <c r="F84" s="208"/>
      <c r="G84" s="208"/>
      <c r="H84" s="209"/>
      <c r="I84" s="207" t="s">
        <v>26</v>
      </c>
      <c r="J84" s="208"/>
      <c r="K84" s="208"/>
      <c r="L84" s="210"/>
    </row>
    <row r="85" spans="1:12" ht="15.75">
      <c r="C85" s="211" t="s">
        <v>28</v>
      </c>
      <c r="D85" s="212" t="s">
        <v>29</v>
      </c>
      <c r="E85" s="213" t="s">
        <v>30</v>
      </c>
      <c r="F85" s="212"/>
      <c r="G85" s="213" t="s">
        <v>31</v>
      </c>
      <c r="H85" s="214"/>
      <c r="I85" s="46" t="s">
        <v>32</v>
      </c>
      <c r="J85" s="215" t="s">
        <v>30</v>
      </c>
      <c r="K85" s="216"/>
      <c r="L85" s="53" t="s">
        <v>33</v>
      </c>
    </row>
    <row r="86" spans="1:12" ht="78.75">
      <c r="C86" s="47" t="s">
        <v>34</v>
      </c>
      <c r="D86" s="48" t="s">
        <v>35</v>
      </c>
      <c r="E86" s="48" t="s">
        <v>34</v>
      </c>
      <c r="F86" s="48" t="s">
        <v>35</v>
      </c>
      <c r="G86" s="48" t="s">
        <v>36</v>
      </c>
      <c r="H86" s="49" t="s">
        <v>37</v>
      </c>
      <c r="I86" s="47" t="s">
        <v>38</v>
      </c>
      <c r="J86" s="48" t="s">
        <v>39</v>
      </c>
      <c r="K86" s="54" t="s">
        <v>38</v>
      </c>
      <c r="L86" s="49" t="s">
        <v>40</v>
      </c>
    </row>
    <row r="87" spans="1:12" ht="15.75">
      <c r="C87" s="50">
        <v>1</v>
      </c>
      <c r="D87" s="51">
        <v>2</v>
      </c>
      <c r="E87" s="51">
        <v>3</v>
      </c>
      <c r="F87" s="51">
        <v>4</v>
      </c>
      <c r="G87" s="51">
        <v>5</v>
      </c>
      <c r="H87" s="52">
        <v>6</v>
      </c>
      <c r="I87" s="50">
        <v>7</v>
      </c>
      <c r="J87" s="51">
        <v>8</v>
      </c>
      <c r="K87" s="55">
        <v>9</v>
      </c>
      <c r="L87" s="52">
        <v>10</v>
      </c>
    </row>
  </sheetData>
  <mergeCells count="6">
    <mergeCell ref="C84:H84"/>
    <mergeCell ref="I84:L84"/>
    <mergeCell ref="C85:D85"/>
    <mergeCell ref="E85:F85"/>
    <mergeCell ref="G85:H85"/>
    <mergeCell ref="J85:K85"/>
  </mergeCells>
  <pageMargins left="0.31496062992126" right="0.31496062992126" top="0.35433070866141703" bottom="0.35433070866141703" header="0.31496062992126" footer="0.31496062992126"/>
  <pageSetup paperSize="9" scale="7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7"/>
  <sheetViews>
    <sheetView topLeftCell="A76" zoomScale="90" zoomScaleNormal="90" workbookViewId="0">
      <selection activeCell="A74" sqref="A74"/>
    </sheetView>
  </sheetViews>
  <sheetFormatPr defaultColWidth="8.85546875" defaultRowHeight="15"/>
  <cols>
    <col min="1" max="1" width="14.42578125" style="3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28515625" customWidth="1"/>
    <col min="13" max="13" width="8.85546875" customWidth="1"/>
  </cols>
  <sheetData>
    <row r="1" spans="1:10" s="1" customFormat="1" ht="18.75">
      <c r="A1" s="239" t="s">
        <v>117</v>
      </c>
      <c r="E1" s="4"/>
      <c r="F1" s="4"/>
      <c r="G1" s="4"/>
      <c r="H1" s="4"/>
      <c r="I1" s="4"/>
      <c r="J1" s="4"/>
    </row>
    <row r="2" spans="1:10" s="2" customFormat="1" ht="45">
      <c r="A2" s="5" t="s">
        <v>41</v>
      </c>
      <c r="B2" s="6" t="s">
        <v>95</v>
      </c>
      <c r="C2" s="7" t="s">
        <v>96</v>
      </c>
      <c r="D2" s="8" t="s">
        <v>97</v>
      </c>
      <c r="E2" s="7" t="s">
        <v>98</v>
      </c>
      <c r="F2" s="7" t="s">
        <v>97</v>
      </c>
      <c r="G2" s="9" t="s">
        <v>99</v>
      </c>
    </row>
    <row r="3" spans="1:10">
      <c r="A3" s="10" t="s">
        <v>100</v>
      </c>
      <c r="B3" s="11">
        <v>20.67</v>
      </c>
      <c r="C3" s="12">
        <f>D3/B3</f>
        <v>134324.5</v>
      </c>
      <c r="D3" s="217">
        <v>2776487.415</v>
      </c>
      <c r="E3" s="13"/>
      <c r="F3" s="13"/>
      <c r="G3" s="14" t="s">
        <v>11</v>
      </c>
      <c r="I3" s="44"/>
    </row>
    <row r="4" spans="1:10" ht="15.75" thickBot="1">
      <c r="A4" s="229" t="s">
        <v>113</v>
      </c>
      <c r="B4" s="230">
        <v>52.97</v>
      </c>
      <c r="C4" s="231">
        <f>D4/B4</f>
        <v>94722.409</v>
      </c>
      <c r="D4" s="232">
        <f>4351644.41*1.153</f>
        <v>5017446.0047300002</v>
      </c>
      <c r="E4" s="23"/>
      <c r="F4" s="23"/>
      <c r="G4" s="233" t="s">
        <v>11</v>
      </c>
      <c r="I4" s="44"/>
    </row>
    <row r="5" spans="1:10">
      <c r="A5" s="234" t="s">
        <v>114</v>
      </c>
      <c r="B5" s="27">
        <v>38.25</v>
      </c>
      <c r="C5" s="28">
        <f>D5/B5</f>
        <v>112417.5</v>
      </c>
      <c r="D5" s="221">
        <f>3729375*1.153</f>
        <v>4299969.375</v>
      </c>
      <c r="E5" s="141"/>
      <c r="F5" s="141"/>
      <c r="G5" s="223" t="s">
        <v>11</v>
      </c>
      <c r="I5" s="44"/>
    </row>
    <row r="6" spans="1:10" ht="15.75" thickBot="1">
      <c r="A6" s="229" t="s">
        <v>114</v>
      </c>
      <c r="B6" s="230">
        <v>40.89</v>
      </c>
      <c r="C6" s="231">
        <f>D6/B6</f>
        <v>108382.00000000001</v>
      </c>
      <c r="D6" s="232">
        <f>3843660*1.153</f>
        <v>4431739.9800000004</v>
      </c>
      <c r="E6" s="23"/>
      <c r="F6" s="23"/>
      <c r="G6" s="235" t="s">
        <v>11</v>
      </c>
      <c r="I6" s="44"/>
    </row>
    <row r="7" spans="1:10" s="2" customFormat="1">
      <c r="A7" s="30" t="s">
        <v>101</v>
      </c>
      <c r="B7" s="31">
        <v>38.25</v>
      </c>
      <c r="C7" s="32">
        <f t="shared" ref="C7:C35" si="0">D7/B7</f>
        <v>112417.5</v>
      </c>
      <c r="D7" s="220">
        <v>4299969.375</v>
      </c>
      <c r="E7" s="33">
        <f>F7/B7</f>
        <v>113570.5</v>
      </c>
      <c r="F7" s="35">
        <v>4344071.625</v>
      </c>
      <c r="G7" s="36" t="s">
        <v>50</v>
      </c>
      <c r="I7" s="44"/>
      <c r="J7"/>
    </row>
    <row r="8" spans="1:10" s="2" customFormat="1">
      <c r="A8" s="15" t="s">
        <v>102</v>
      </c>
      <c r="B8" s="16">
        <v>43.2</v>
      </c>
      <c r="C8" s="17">
        <f t="shared" si="0"/>
        <v>106076</v>
      </c>
      <c r="D8" s="218">
        <v>4582483.2</v>
      </c>
      <c r="E8" s="18">
        <f t="shared" ref="E8:E35" si="1">F8/B8</f>
        <v>107229</v>
      </c>
      <c r="F8" s="13">
        <v>4632292.8</v>
      </c>
      <c r="G8" s="19" t="s">
        <v>50</v>
      </c>
      <c r="I8" s="44"/>
      <c r="J8"/>
    </row>
    <row r="9" spans="1:10" s="2" customFormat="1">
      <c r="A9" s="15" t="s">
        <v>102</v>
      </c>
      <c r="B9" s="16">
        <v>45.32</v>
      </c>
      <c r="C9" s="17">
        <f t="shared" si="0"/>
        <v>104923</v>
      </c>
      <c r="D9" s="218">
        <v>4755110.3600000003</v>
      </c>
      <c r="E9" s="18">
        <f t="shared" si="1"/>
        <v>106076</v>
      </c>
      <c r="F9" s="13">
        <v>4807364.32</v>
      </c>
      <c r="G9" s="19" t="s">
        <v>50</v>
      </c>
      <c r="I9" s="44"/>
      <c r="J9"/>
    </row>
    <row r="10" spans="1:10" s="2" customFormat="1">
      <c r="A10" s="15" t="s">
        <v>102</v>
      </c>
      <c r="B10" s="16">
        <v>48.45</v>
      </c>
      <c r="C10" s="17">
        <f t="shared" si="0"/>
        <v>101219.564</v>
      </c>
      <c r="D10" s="218">
        <v>4904087.8757999996</v>
      </c>
      <c r="E10" s="18">
        <f t="shared" si="1"/>
        <v>102372.564</v>
      </c>
      <c r="F10" s="13">
        <v>4959950.7258000001</v>
      </c>
      <c r="G10" s="19" t="s">
        <v>50</v>
      </c>
      <c r="I10" s="44"/>
      <c r="J10"/>
    </row>
    <row r="11" spans="1:10" s="2" customFormat="1">
      <c r="A11" s="20" t="s">
        <v>102</v>
      </c>
      <c r="B11" s="21">
        <v>55.52</v>
      </c>
      <c r="C11" s="22">
        <f t="shared" si="0"/>
        <v>94722.409</v>
      </c>
      <c r="D11" s="219">
        <v>5258988.1476800004</v>
      </c>
      <c r="E11" s="24">
        <f t="shared" si="1"/>
        <v>95875.409</v>
      </c>
      <c r="F11" s="23">
        <v>5323002.70768</v>
      </c>
      <c r="G11" s="25" t="s">
        <v>50</v>
      </c>
      <c r="I11" s="44"/>
      <c r="J11"/>
    </row>
    <row r="12" spans="1:10">
      <c r="A12" s="26" t="s">
        <v>103</v>
      </c>
      <c r="B12" s="27">
        <v>18.95</v>
      </c>
      <c r="C12" s="28">
        <f t="shared" si="0"/>
        <v>137783.5</v>
      </c>
      <c r="D12" s="217">
        <v>2610997.3250000002</v>
      </c>
      <c r="E12" s="28">
        <f t="shared" si="1"/>
        <v>138936.5</v>
      </c>
      <c r="F12" s="28">
        <v>2632846.6749999998</v>
      </c>
      <c r="G12" s="223" t="s">
        <v>50</v>
      </c>
      <c r="I12" s="44"/>
    </row>
    <row r="13" spans="1:10">
      <c r="A13" s="10" t="s">
        <v>103</v>
      </c>
      <c r="B13" s="11">
        <v>20.67</v>
      </c>
      <c r="C13" s="12">
        <f t="shared" si="0"/>
        <v>134324.5</v>
      </c>
      <c r="D13" s="217">
        <v>2776487.415</v>
      </c>
      <c r="E13" s="12">
        <f t="shared" si="1"/>
        <v>135477.5</v>
      </c>
      <c r="F13" s="12">
        <v>2800319.9249999998</v>
      </c>
      <c r="G13" s="222" t="s">
        <v>50</v>
      </c>
      <c r="I13" s="44"/>
    </row>
    <row r="14" spans="1:10">
      <c r="A14" s="30" t="s">
        <v>104</v>
      </c>
      <c r="B14" s="31">
        <v>34.630000000000003</v>
      </c>
      <c r="C14" s="32">
        <f t="shared" si="0"/>
        <v>116688.212</v>
      </c>
      <c r="D14" s="218">
        <v>4040912.78156</v>
      </c>
      <c r="E14" s="33">
        <f t="shared" si="1"/>
        <v>117841.212</v>
      </c>
      <c r="F14" s="13">
        <v>4080841.1715600002</v>
      </c>
      <c r="G14" s="224" t="s">
        <v>50</v>
      </c>
      <c r="I14" s="44"/>
    </row>
    <row r="15" spans="1:10">
      <c r="A15" s="15" t="s">
        <v>105</v>
      </c>
      <c r="B15" s="16">
        <v>38.25</v>
      </c>
      <c r="C15" s="17">
        <f t="shared" si="0"/>
        <v>112417.5</v>
      </c>
      <c r="D15" s="218">
        <v>4299969.375</v>
      </c>
      <c r="E15" s="18">
        <f t="shared" si="1"/>
        <v>113570.5</v>
      </c>
      <c r="F15" s="13">
        <v>4344071.625</v>
      </c>
      <c r="G15" s="224" t="s">
        <v>50</v>
      </c>
      <c r="I15" s="44"/>
    </row>
    <row r="16" spans="1:10">
      <c r="A16" s="34" t="s">
        <v>104</v>
      </c>
      <c r="B16" s="16">
        <v>39</v>
      </c>
      <c r="C16" s="17">
        <f t="shared" si="0"/>
        <v>112156.92200000001</v>
      </c>
      <c r="D16" s="218">
        <v>4374119.9579999996</v>
      </c>
      <c r="E16" s="17">
        <f t="shared" si="1"/>
        <v>113309.92200000001</v>
      </c>
      <c r="F16" s="13">
        <v>4419086.9579999996</v>
      </c>
      <c r="G16" s="224" t="s">
        <v>50</v>
      </c>
      <c r="I16" s="44"/>
    </row>
    <row r="17" spans="1:9">
      <c r="A17" s="30" t="s">
        <v>106</v>
      </c>
      <c r="B17" s="31">
        <v>40.89</v>
      </c>
      <c r="C17" s="32">
        <f t="shared" si="0"/>
        <v>108382</v>
      </c>
      <c r="D17" s="220">
        <v>4431739.9800000004</v>
      </c>
      <c r="E17" s="33">
        <f t="shared" si="1"/>
        <v>109535</v>
      </c>
      <c r="F17" s="35">
        <v>4478886.1500000004</v>
      </c>
      <c r="G17" s="225" t="s">
        <v>50</v>
      </c>
      <c r="I17" s="44"/>
    </row>
    <row r="18" spans="1:9">
      <c r="A18" s="15" t="s">
        <v>106</v>
      </c>
      <c r="B18" s="16">
        <v>43.2</v>
      </c>
      <c r="C18" s="17">
        <f t="shared" si="0"/>
        <v>106076</v>
      </c>
      <c r="D18" s="218">
        <v>4582483.2</v>
      </c>
      <c r="E18" s="18">
        <f t="shared" si="1"/>
        <v>107229</v>
      </c>
      <c r="F18" s="13">
        <v>4632292.8</v>
      </c>
      <c r="G18" s="224" t="s">
        <v>50</v>
      </c>
      <c r="I18" s="44"/>
    </row>
    <row r="19" spans="1:9">
      <c r="A19" s="15" t="s">
        <v>106</v>
      </c>
      <c r="B19" s="16">
        <v>45.32</v>
      </c>
      <c r="C19" s="17">
        <f t="shared" si="0"/>
        <v>104923</v>
      </c>
      <c r="D19" s="218">
        <v>4755110.3600000003</v>
      </c>
      <c r="E19" s="18">
        <f t="shared" si="1"/>
        <v>106076</v>
      </c>
      <c r="F19" s="13">
        <v>4807364.32</v>
      </c>
      <c r="G19" s="224" t="s">
        <v>50</v>
      </c>
      <c r="I19" s="44"/>
    </row>
    <row r="20" spans="1:9">
      <c r="A20" s="15" t="s">
        <v>106</v>
      </c>
      <c r="B20" s="16">
        <v>48.45</v>
      </c>
      <c r="C20" s="17">
        <f t="shared" si="0"/>
        <v>101219.564</v>
      </c>
      <c r="D20" s="218">
        <v>4904087.8757999996</v>
      </c>
      <c r="E20" s="18">
        <f t="shared" si="1"/>
        <v>102372.564</v>
      </c>
      <c r="F20" s="13">
        <v>4959950.7258000001</v>
      </c>
      <c r="G20" s="224" t="s">
        <v>50</v>
      </c>
      <c r="I20" s="44"/>
    </row>
    <row r="21" spans="1:9">
      <c r="A21" s="20" t="s">
        <v>106</v>
      </c>
      <c r="B21" s="21">
        <v>55.52</v>
      </c>
      <c r="C21" s="22">
        <f t="shared" si="0"/>
        <v>94722.409</v>
      </c>
      <c r="D21" s="219">
        <v>5258988.1476800004</v>
      </c>
      <c r="E21" s="24">
        <f t="shared" si="1"/>
        <v>95875.409</v>
      </c>
      <c r="F21" s="23">
        <v>5323002.70768</v>
      </c>
      <c r="G21" s="226" t="s">
        <v>50</v>
      </c>
      <c r="I21" s="44"/>
    </row>
    <row r="22" spans="1:9">
      <c r="A22" s="26" t="s">
        <v>107</v>
      </c>
      <c r="B22" s="27">
        <v>17</v>
      </c>
      <c r="C22" s="28">
        <f t="shared" si="0"/>
        <v>145393.29999999999</v>
      </c>
      <c r="D22" s="221">
        <v>2471686.1</v>
      </c>
      <c r="E22" s="28">
        <f t="shared" si="1"/>
        <v>146546.29999999999</v>
      </c>
      <c r="F22" s="28">
        <v>2491287.1</v>
      </c>
      <c r="G22" s="223" t="s">
        <v>50</v>
      </c>
      <c r="I22" s="44"/>
    </row>
    <row r="23" spans="1:9">
      <c r="A23" s="37" t="s">
        <v>107</v>
      </c>
      <c r="B23" s="11">
        <v>17.3</v>
      </c>
      <c r="C23" s="12">
        <f t="shared" si="0"/>
        <v>145393.29999999999</v>
      </c>
      <c r="D23" s="217">
        <v>2515304.09</v>
      </c>
      <c r="E23" s="12">
        <f t="shared" si="1"/>
        <v>146546.29999999999</v>
      </c>
      <c r="F23" s="12">
        <v>2535250.9900000002</v>
      </c>
      <c r="G23" s="222" t="s">
        <v>50</v>
      </c>
      <c r="I23" s="44"/>
    </row>
    <row r="24" spans="1:9">
      <c r="A24" s="38" t="s">
        <v>107</v>
      </c>
      <c r="B24" s="11">
        <v>20</v>
      </c>
      <c r="C24" s="12">
        <f t="shared" si="0"/>
        <v>139628.29999999999</v>
      </c>
      <c r="D24" s="217">
        <v>2792566</v>
      </c>
      <c r="E24" s="12">
        <f t="shared" si="1"/>
        <v>140781.29999999999</v>
      </c>
      <c r="F24" s="12">
        <v>2815626</v>
      </c>
      <c r="G24" s="222" t="s">
        <v>50</v>
      </c>
      <c r="I24" s="44"/>
    </row>
    <row r="25" spans="1:9">
      <c r="A25" s="37" t="s">
        <v>107</v>
      </c>
      <c r="B25" s="11">
        <v>20.3</v>
      </c>
      <c r="C25" s="12">
        <f t="shared" si="0"/>
        <v>139628.29999999999</v>
      </c>
      <c r="D25" s="217">
        <v>2834454.49</v>
      </c>
      <c r="E25" s="12">
        <f t="shared" si="1"/>
        <v>140781.29999999999</v>
      </c>
      <c r="F25" s="12">
        <v>2857860.39</v>
      </c>
      <c r="G25" s="222" t="s">
        <v>50</v>
      </c>
      <c r="I25" s="44"/>
    </row>
    <row r="26" spans="1:9">
      <c r="A26" s="15" t="s">
        <v>108</v>
      </c>
      <c r="B26" s="16">
        <v>42.1</v>
      </c>
      <c r="C26" s="17">
        <f t="shared" si="0"/>
        <v>107229</v>
      </c>
      <c r="D26" s="218">
        <v>4514340.9000000004</v>
      </c>
      <c r="E26" s="18">
        <f t="shared" si="1"/>
        <v>108382</v>
      </c>
      <c r="F26" s="13">
        <v>4562882.2</v>
      </c>
      <c r="G26" s="224" t="s">
        <v>50</v>
      </c>
      <c r="I26" s="44"/>
    </row>
    <row r="27" spans="1:9">
      <c r="A27" s="30" t="s">
        <v>109</v>
      </c>
      <c r="B27" s="16">
        <v>46.7</v>
      </c>
      <c r="C27" s="17">
        <f t="shared" si="0"/>
        <v>106076</v>
      </c>
      <c r="D27" s="218">
        <v>4953749.2</v>
      </c>
      <c r="E27" s="18">
        <f t="shared" si="1"/>
        <v>107229</v>
      </c>
      <c r="F27" s="13">
        <v>5007594.3</v>
      </c>
      <c r="G27" s="224" t="s">
        <v>50</v>
      </c>
      <c r="I27" s="44"/>
    </row>
    <row r="28" spans="1:9">
      <c r="A28" s="20" t="s">
        <v>109</v>
      </c>
      <c r="B28" s="21">
        <v>57.1</v>
      </c>
      <c r="C28" s="22">
        <f t="shared" si="0"/>
        <v>95875.409</v>
      </c>
      <c r="D28" s="219">
        <v>5474485.8539000005</v>
      </c>
      <c r="E28" s="24">
        <f t="shared" si="1"/>
        <v>97028.409</v>
      </c>
      <c r="F28" s="23">
        <v>5540322.1539000003</v>
      </c>
      <c r="G28" s="226" t="s">
        <v>50</v>
      </c>
      <c r="I28" s="44"/>
    </row>
    <row r="29" spans="1:9">
      <c r="A29" s="26" t="s">
        <v>110</v>
      </c>
      <c r="B29" s="27">
        <v>17</v>
      </c>
      <c r="C29" s="28">
        <f t="shared" si="0"/>
        <v>144240.29999999999</v>
      </c>
      <c r="D29" s="221">
        <v>2452085.1</v>
      </c>
      <c r="E29" s="28">
        <f t="shared" si="1"/>
        <v>145393.29999999999</v>
      </c>
      <c r="F29" s="28">
        <v>2471686.1</v>
      </c>
      <c r="G29" s="29" t="s">
        <v>11</v>
      </c>
      <c r="I29" s="44"/>
    </row>
    <row r="30" spans="1:9">
      <c r="A30" s="37" t="s">
        <v>110</v>
      </c>
      <c r="B30" s="11">
        <v>17.3</v>
      </c>
      <c r="C30" s="12">
        <f t="shared" si="0"/>
        <v>144240.29999999999</v>
      </c>
      <c r="D30" s="217">
        <v>2495357.19</v>
      </c>
      <c r="E30" s="12">
        <f t="shared" si="1"/>
        <v>145393.29999999999</v>
      </c>
      <c r="F30" s="12">
        <v>2515304.09</v>
      </c>
      <c r="G30" s="14" t="s">
        <v>11</v>
      </c>
      <c r="I30" s="44"/>
    </row>
    <row r="31" spans="1:9">
      <c r="A31" s="38" t="s">
        <v>110</v>
      </c>
      <c r="B31" s="11">
        <v>20</v>
      </c>
      <c r="C31" s="12">
        <f t="shared" si="0"/>
        <v>138475.29999999999</v>
      </c>
      <c r="D31" s="217">
        <v>2769506</v>
      </c>
      <c r="E31" s="12">
        <f t="shared" si="1"/>
        <v>139628.29999999999</v>
      </c>
      <c r="F31" s="12">
        <v>2792566</v>
      </c>
      <c r="G31" s="14" t="s">
        <v>11</v>
      </c>
      <c r="I31" s="44"/>
    </row>
    <row r="32" spans="1:9">
      <c r="A32" s="37" t="s">
        <v>110</v>
      </c>
      <c r="B32" s="11">
        <v>20.3</v>
      </c>
      <c r="C32" s="12">
        <f t="shared" si="0"/>
        <v>138475.29999999999</v>
      </c>
      <c r="D32" s="217">
        <v>2811048.59</v>
      </c>
      <c r="E32" s="12">
        <f t="shared" si="1"/>
        <v>139628.29999999999</v>
      </c>
      <c r="F32" s="12">
        <v>2834454.49</v>
      </c>
      <c r="G32" s="14" t="s">
        <v>11</v>
      </c>
      <c r="I32" s="44"/>
    </row>
    <row r="33" spans="1:11">
      <c r="A33" s="15" t="s">
        <v>111</v>
      </c>
      <c r="B33" s="16">
        <v>42.1</v>
      </c>
      <c r="C33" s="17">
        <f t="shared" si="0"/>
        <v>106076</v>
      </c>
      <c r="D33" s="218">
        <v>4465799.5999999996</v>
      </c>
      <c r="E33" s="18">
        <f t="shared" si="1"/>
        <v>107229</v>
      </c>
      <c r="F33" s="13">
        <v>4514340.9000000004</v>
      </c>
      <c r="G33" s="19" t="s">
        <v>11</v>
      </c>
      <c r="I33" s="44"/>
    </row>
    <row r="34" spans="1:11">
      <c r="A34" s="30" t="s">
        <v>112</v>
      </c>
      <c r="B34" s="16">
        <v>46.7</v>
      </c>
      <c r="C34" s="17">
        <f t="shared" si="0"/>
        <v>104923</v>
      </c>
      <c r="D34" s="218">
        <v>4899904.0999999996</v>
      </c>
      <c r="E34" s="18">
        <f t="shared" si="1"/>
        <v>106076</v>
      </c>
      <c r="F34" s="13">
        <v>4953749.2</v>
      </c>
      <c r="G34" s="19" t="s">
        <v>11</v>
      </c>
      <c r="I34" s="44"/>
    </row>
    <row r="35" spans="1:11">
      <c r="A35" s="20" t="s">
        <v>112</v>
      </c>
      <c r="B35" s="21">
        <v>57.1</v>
      </c>
      <c r="C35" s="22">
        <f t="shared" si="0"/>
        <v>94722.409</v>
      </c>
      <c r="D35" s="219">
        <v>5408649.5538999997</v>
      </c>
      <c r="E35" s="24">
        <f t="shared" si="1"/>
        <v>95875.409</v>
      </c>
      <c r="F35" s="23">
        <v>5474485.8539000005</v>
      </c>
      <c r="G35" s="25" t="s">
        <v>11</v>
      </c>
      <c r="I35" s="44"/>
    </row>
    <row r="37" spans="1:11" ht="18.75">
      <c r="A37" s="239" t="s">
        <v>118</v>
      </c>
      <c r="B37" s="1"/>
      <c r="C37" s="1"/>
      <c r="D37" s="1"/>
      <c r="E37" s="4"/>
      <c r="F37" s="4"/>
      <c r="G37" s="4"/>
      <c r="H37" s="4"/>
      <c r="I37" s="4"/>
      <c r="J37" s="4"/>
      <c r="K37" s="1"/>
    </row>
    <row r="38" spans="1:11" ht="45">
      <c r="A38" s="5" t="s">
        <v>41</v>
      </c>
      <c r="B38" s="6" t="s">
        <v>95</v>
      </c>
      <c r="C38" s="7" t="s">
        <v>96</v>
      </c>
      <c r="D38" s="8" t="s">
        <v>97</v>
      </c>
      <c r="E38" s="7" t="s">
        <v>98</v>
      </c>
      <c r="F38" s="7" t="s">
        <v>97</v>
      </c>
      <c r="G38" s="9" t="s">
        <v>99</v>
      </c>
      <c r="H38" s="2"/>
      <c r="I38" s="2"/>
      <c r="J38" s="2"/>
      <c r="K38" s="2"/>
    </row>
    <row r="39" spans="1:11">
      <c r="A39" s="10" t="s">
        <v>100</v>
      </c>
      <c r="B39" s="11">
        <v>20.67</v>
      </c>
      <c r="C39" s="12">
        <f>D39/B39</f>
        <v>131179</v>
      </c>
      <c r="D39" s="217">
        <v>2711469.93</v>
      </c>
      <c r="E39" s="13"/>
      <c r="F39" s="13"/>
      <c r="G39" s="14" t="s">
        <v>11</v>
      </c>
      <c r="I39" s="44"/>
    </row>
    <row r="40" spans="1:11" ht="15.75" thickBot="1">
      <c r="A40" s="229" t="s">
        <v>113</v>
      </c>
      <c r="B40" s="230">
        <v>52.97</v>
      </c>
      <c r="C40" s="231">
        <f>D40/B40</f>
        <v>92504.278000000006</v>
      </c>
      <c r="D40" s="232">
        <f>4351644.41*1.126</f>
        <v>4899951.6056599999</v>
      </c>
      <c r="E40" s="23"/>
      <c r="F40" s="23"/>
      <c r="G40" s="233" t="s">
        <v>11</v>
      </c>
      <c r="I40" s="44"/>
    </row>
    <row r="41" spans="1:11">
      <c r="A41" s="236" t="s">
        <v>114</v>
      </c>
      <c r="B41" s="27">
        <v>38.25</v>
      </c>
      <c r="C41" s="28">
        <f>D41/B41</f>
        <v>109785</v>
      </c>
      <c r="D41" s="221">
        <f>3729375*1.126</f>
        <v>4199276.25</v>
      </c>
      <c r="E41" s="141"/>
      <c r="F41" s="141"/>
      <c r="G41" s="223" t="s">
        <v>11</v>
      </c>
      <c r="I41" s="44"/>
    </row>
    <row r="42" spans="1:11" ht="15.75" thickBot="1">
      <c r="A42" s="237" t="s">
        <v>114</v>
      </c>
      <c r="B42" s="230">
        <v>40.89</v>
      </c>
      <c r="C42" s="231">
        <f>D42/B42</f>
        <v>105843.99999999999</v>
      </c>
      <c r="D42" s="232">
        <f>3843660*1.126</f>
        <v>4327961.1599999992</v>
      </c>
      <c r="E42" s="23"/>
      <c r="F42" s="23"/>
      <c r="G42" s="235" t="s">
        <v>11</v>
      </c>
      <c r="I42" s="44"/>
    </row>
    <row r="43" spans="1:11">
      <c r="A43" s="15" t="s">
        <v>101</v>
      </c>
      <c r="B43" s="16">
        <v>38.25</v>
      </c>
      <c r="C43" s="17">
        <f t="shared" ref="C43:C71" si="2">D43/B43</f>
        <v>109785</v>
      </c>
      <c r="D43" s="218">
        <v>4199276.25</v>
      </c>
      <c r="E43" s="18">
        <f>F43/B43</f>
        <v>110911</v>
      </c>
      <c r="F43" s="13">
        <v>4242345.75</v>
      </c>
      <c r="G43" s="36" t="s">
        <v>50</v>
      </c>
      <c r="H43" s="2"/>
      <c r="I43" s="44"/>
      <c r="K43" s="2"/>
    </row>
    <row r="44" spans="1:11">
      <c r="A44" s="15" t="s">
        <v>102</v>
      </c>
      <c r="B44" s="16">
        <v>43.2</v>
      </c>
      <c r="C44" s="17">
        <f t="shared" si="2"/>
        <v>103592</v>
      </c>
      <c r="D44" s="218">
        <v>4475174.4000000004</v>
      </c>
      <c r="E44" s="18">
        <f t="shared" ref="E44:E71" si="3">F44/B44</f>
        <v>104718</v>
      </c>
      <c r="F44" s="13">
        <v>4523817.5999999996</v>
      </c>
      <c r="G44" s="19" t="s">
        <v>50</v>
      </c>
      <c r="H44" s="2"/>
      <c r="I44" s="44"/>
      <c r="K44" s="2"/>
    </row>
    <row r="45" spans="1:11">
      <c r="A45" s="15" t="s">
        <v>102</v>
      </c>
      <c r="B45" s="16">
        <v>45.32</v>
      </c>
      <c r="C45" s="17">
        <f t="shared" si="2"/>
        <v>102466</v>
      </c>
      <c r="D45" s="218">
        <v>4643759.12</v>
      </c>
      <c r="E45" s="18">
        <f t="shared" si="3"/>
        <v>103592</v>
      </c>
      <c r="F45" s="13">
        <v>4694789.4400000004</v>
      </c>
      <c r="G45" s="19" t="s">
        <v>50</v>
      </c>
      <c r="H45" s="2"/>
      <c r="I45" s="44"/>
      <c r="K45" s="2"/>
    </row>
    <row r="46" spans="1:11">
      <c r="A46" s="15" t="s">
        <v>102</v>
      </c>
      <c r="B46" s="16">
        <v>48.45</v>
      </c>
      <c r="C46" s="17">
        <f t="shared" si="2"/>
        <v>98849.288</v>
      </c>
      <c r="D46" s="218">
        <v>4789248.0036000004</v>
      </c>
      <c r="E46" s="18">
        <f t="shared" si="3"/>
        <v>99975.288</v>
      </c>
      <c r="F46" s="13">
        <v>4843802.7035999997</v>
      </c>
      <c r="G46" s="19" t="s">
        <v>50</v>
      </c>
      <c r="H46" s="2"/>
      <c r="I46" s="44"/>
      <c r="K46" s="2"/>
    </row>
    <row r="47" spans="1:11">
      <c r="A47" s="20" t="s">
        <v>102</v>
      </c>
      <c r="B47" s="21">
        <v>55.52</v>
      </c>
      <c r="C47" s="22">
        <f t="shared" si="2"/>
        <v>92504.278000000006</v>
      </c>
      <c r="D47" s="219">
        <v>5135837.51456</v>
      </c>
      <c r="E47" s="24">
        <f t="shared" si="3"/>
        <v>93630.278000000006</v>
      </c>
      <c r="F47" s="23">
        <v>5198353.0345599996</v>
      </c>
      <c r="G47" s="25" t="s">
        <v>50</v>
      </c>
      <c r="H47" s="2"/>
      <c r="I47" s="44"/>
      <c r="K47" s="2"/>
    </row>
    <row r="48" spans="1:11">
      <c r="A48" s="26" t="s">
        <v>103</v>
      </c>
      <c r="B48" s="27">
        <v>18.95</v>
      </c>
      <c r="C48" s="28">
        <f t="shared" si="2"/>
        <v>134557</v>
      </c>
      <c r="D48" s="217">
        <v>2549855.15</v>
      </c>
      <c r="E48" s="28">
        <f t="shared" si="3"/>
        <v>135683</v>
      </c>
      <c r="F48" s="28">
        <v>2571192.85</v>
      </c>
      <c r="G48" s="223" t="s">
        <v>50</v>
      </c>
      <c r="I48" s="44"/>
    </row>
    <row r="49" spans="1:9">
      <c r="A49" s="10" t="s">
        <v>103</v>
      </c>
      <c r="B49" s="11">
        <v>20.67</v>
      </c>
      <c r="C49" s="12">
        <f t="shared" si="2"/>
        <v>131179</v>
      </c>
      <c r="D49" s="217">
        <v>2711469.93</v>
      </c>
      <c r="E49" s="12">
        <f t="shared" si="3"/>
        <v>132305</v>
      </c>
      <c r="F49" s="12">
        <v>2734744.35</v>
      </c>
      <c r="G49" s="222" t="s">
        <v>50</v>
      </c>
      <c r="I49" s="44"/>
    </row>
    <row r="50" spans="1:9">
      <c r="A50" s="30" t="s">
        <v>104</v>
      </c>
      <c r="B50" s="31">
        <v>34.630000000000003</v>
      </c>
      <c r="C50" s="32">
        <f t="shared" si="2"/>
        <v>113955.704</v>
      </c>
      <c r="D50" s="218">
        <v>3946286.0295199999</v>
      </c>
      <c r="E50" s="33">
        <f t="shared" si="3"/>
        <v>115081.704</v>
      </c>
      <c r="F50" s="13">
        <v>3985279.4095200002</v>
      </c>
      <c r="G50" s="224" t="s">
        <v>50</v>
      </c>
      <c r="I50" s="44"/>
    </row>
    <row r="51" spans="1:9">
      <c r="A51" s="15" t="s">
        <v>105</v>
      </c>
      <c r="B51" s="16">
        <v>38.25</v>
      </c>
      <c r="C51" s="17">
        <f t="shared" si="2"/>
        <v>109785</v>
      </c>
      <c r="D51" s="218">
        <v>4199276.25</v>
      </c>
      <c r="E51" s="18">
        <f t="shared" si="3"/>
        <v>110911</v>
      </c>
      <c r="F51" s="13">
        <v>4242345.75</v>
      </c>
      <c r="G51" s="224" t="s">
        <v>50</v>
      </c>
      <c r="I51" s="44"/>
    </row>
    <row r="52" spans="1:9">
      <c r="A52" s="34" t="s">
        <v>104</v>
      </c>
      <c r="B52" s="16">
        <v>39</v>
      </c>
      <c r="C52" s="17">
        <f t="shared" si="2"/>
        <v>109530.524</v>
      </c>
      <c r="D52" s="218">
        <v>4271690.4359999998</v>
      </c>
      <c r="E52" s="17">
        <f t="shared" si="3"/>
        <v>110656.524</v>
      </c>
      <c r="F52" s="13">
        <v>4315604.4359999998</v>
      </c>
      <c r="G52" s="224" t="s">
        <v>50</v>
      </c>
      <c r="I52" s="44"/>
    </row>
    <row r="53" spans="1:9">
      <c r="A53" s="30" t="s">
        <v>106</v>
      </c>
      <c r="B53" s="31">
        <v>40.89</v>
      </c>
      <c r="C53" s="32">
        <f t="shared" si="2"/>
        <v>105844</v>
      </c>
      <c r="D53" s="220">
        <v>4327961.16</v>
      </c>
      <c r="E53" s="33">
        <f t="shared" si="3"/>
        <v>106970</v>
      </c>
      <c r="F53" s="35">
        <v>4374003.3</v>
      </c>
      <c r="G53" s="225" t="s">
        <v>50</v>
      </c>
      <c r="I53" s="44"/>
    </row>
    <row r="54" spans="1:9">
      <c r="A54" s="15" t="s">
        <v>106</v>
      </c>
      <c r="B54" s="16">
        <v>43.2</v>
      </c>
      <c r="C54" s="17">
        <f t="shared" si="2"/>
        <v>103592</v>
      </c>
      <c r="D54" s="218">
        <v>4475174.4000000004</v>
      </c>
      <c r="E54" s="18">
        <f t="shared" si="3"/>
        <v>104718</v>
      </c>
      <c r="F54" s="13">
        <v>4523817.5999999996</v>
      </c>
      <c r="G54" s="224" t="s">
        <v>50</v>
      </c>
      <c r="I54" s="44"/>
    </row>
    <row r="55" spans="1:9">
      <c r="A55" s="15" t="s">
        <v>106</v>
      </c>
      <c r="B55" s="16">
        <v>45.32</v>
      </c>
      <c r="C55" s="17">
        <f t="shared" si="2"/>
        <v>102466</v>
      </c>
      <c r="D55" s="218">
        <v>4643759.12</v>
      </c>
      <c r="E55" s="18">
        <f t="shared" si="3"/>
        <v>103592</v>
      </c>
      <c r="F55" s="13">
        <v>4694789.4400000004</v>
      </c>
      <c r="G55" s="224" t="s">
        <v>50</v>
      </c>
      <c r="I55" s="44"/>
    </row>
    <row r="56" spans="1:9">
      <c r="A56" s="15" t="s">
        <v>106</v>
      </c>
      <c r="B56" s="16">
        <v>48.45</v>
      </c>
      <c r="C56" s="17">
        <f t="shared" si="2"/>
        <v>98849.288</v>
      </c>
      <c r="D56" s="218">
        <v>4789248.0036000004</v>
      </c>
      <c r="E56" s="18">
        <f t="shared" si="3"/>
        <v>99975.288</v>
      </c>
      <c r="F56" s="13">
        <v>4843802.7035999997</v>
      </c>
      <c r="G56" s="224" t="s">
        <v>50</v>
      </c>
      <c r="I56" s="44"/>
    </row>
    <row r="57" spans="1:9">
      <c r="A57" s="20" t="s">
        <v>106</v>
      </c>
      <c r="B57" s="21">
        <v>55.52</v>
      </c>
      <c r="C57" s="22">
        <f t="shared" si="2"/>
        <v>92504.278000000006</v>
      </c>
      <c r="D57" s="219">
        <v>5135837.51456</v>
      </c>
      <c r="E57" s="24">
        <f t="shared" si="3"/>
        <v>93630.278000000006</v>
      </c>
      <c r="F57" s="23">
        <v>5198353.0345599996</v>
      </c>
      <c r="G57" s="226" t="s">
        <v>50</v>
      </c>
      <c r="I57" s="44"/>
    </row>
    <row r="58" spans="1:9">
      <c r="A58" s="26" t="s">
        <v>107</v>
      </c>
      <c r="B58" s="27">
        <v>17</v>
      </c>
      <c r="C58" s="28">
        <f t="shared" si="2"/>
        <v>141988.6</v>
      </c>
      <c r="D58" s="221">
        <v>2413806.2000000002</v>
      </c>
      <c r="E58" s="28">
        <f t="shared" si="3"/>
        <v>143114.6</v>
      </c>
      <c r="F58" s="28">
        <v>2432948.2000000002</v>
      </c>
      <c r="G58" s="223" t="s">
        <v>50</v>
      </c>
      <c r="I58" s="44"/>
    </row>
    <row r="59" spans="1:9">
      <c r="A59" s="37" t="s">
        <v>107</v>
      </c>
      <c r="B59" s="11">
        <v>17.3</v>
      </c>
      <c r="C59" s="12">
        <f t="shared" si="2"/>
        <v>141988.6</v>
      </c>
      <c r="D59" s="217">
        <v>2456402.7799999998</v>
      </c>
      <c r="E59" s="12">
        <f t="shared" si="3"/>
        <v>143114.6</v>
      </c>
      <c r="F59" s="12">
        <v>2475882.58</v>
      </c>
      <c r="G59" s="222" t="s">
        <v>50</v>
      </c>
      <c r="I59" s="44"/>
    </row>
    <row r="60" spans="1:9">
      <c r="A60" s="38" t="s">
        <v>107</v>
      </c>
      <c r="B60" s="11">
        <v>20</v>
      </c>
      <c r="C60" s="12">
        <f t="shared" si="2"/>
        <v>136358.6</v>
      </c>
      <c r="D60" s="217">
        <v>2727172</v>
      </c>
      <c r="E60" s="12">
        <f t="shared" si="3"/>
        <v>137484.6</v>
      </c>
      <c r="F60" s="12">
        <v>2749692</v>
      </c>
      <c r="G60" s="222" t="s">
        <v>50</v>
      </c>
      <c r="I60" s="44"/>
    </row>
    <row r="61" spans="1:9">
      <c r="A61" s="37" t="s">
        <v>107</v>
      </c>
      <c r="B61" s="11">
        <v>20.3</v>
      </c>
      <c r="C61" s="12">
        <f t="shared" si="2"/>
        <v>136358.6</v>
      </c>
      <c r="D61" s="217">
        <v>2768079.58</v>
      </c>
      <c r="E61" s="12">
        <f t="shared" si="3"/>
        <v>137484.6</v>
      </c>
      <c r="F61" s="12">
        <v>2790937.38</v>
      </c>
      <c r="G61" s="222" t="s">
        <v>50</v>
      </c>
      <c r="I61" s="44"/>
    </row>
    <row r="62" spans="1:9">
      <c r="A62" s="15" t="s">
        <v>108</v>
      </c>
      <c r="B62" s="16">
        <v>42.1</v>
      </c>
      <c r="C62" s="17">
        <f t="shared" si="2"/>
        <v>104718</v>
      </c>
      <c r="D62" s="218">
        <v>4408627.8</v>
      </c>
      <c r="E62" s="18">
        <f t="shared" si="3"/>
        <v>105844</v>
      </c>
      <c r="F62" s="13">
        <v>4456032.4000000004</v>
      </c>
      <c r="G62" s="224" t="s">
        <v>50</v>
      </c>
      <c r="I62" s="44"/>
    </row>
    <row r="63" spans="1:9">
      <c r="A63" s="30" t="s">
        <v>109</v>
      </c>
      <c r="B63" s="16">
        <v>46.7</v>
      </c>
      <c r="C63" s="17">
        <f t="shared" si="2"/>
        <v>103592</v>
      </c>
      <c r="D63" s="218">
        <v>4837746.4000000004</v>
      </c>
      <c r="E63" s="18">
        <f t="shared" si="3"/>
        <v>104718</v>
      </c>
      <c r="F63" s="13">
        <v>4890330.5999999996</v>
      </c>
      <c r="G63" s="224" t="s">
        <v>50</v>
      </c>
      <c r="I63" s="44"/>
    </row>
    <row r="64" spans="1:9">
      <c r="A64" s="20" t="s">
        <v>109</v>
      </c>
      <c r="B64" s="21">
        <v>57.1</v>
      </c>
      <c r="C64" s="22">
        <f t="shared" si="2"/>
        <v>93630.278000000006</v>
      </c>
      <c r="D64" s="219">
        <v>5346288.8738000002</v>
      </c>
      <c r="E64" s="24">
        <f t="shared" si="3"/>
        <v>94756.278000000006</v>
      </c>
      <c r="F64" s="23">
        <v>5410583.4737999998</v>
      </c>
      <c r="G64" s="226" t="s">
        <v>50</v>
      </c>
      <c r="I64" s="44"/>
    </row>
    <row r="65" spans="1:11">
      <c r="A65" s="26" t="s">
        <v>110</v>
      </c>
      <c r="B65" s="27">
        <v>17</v>
      </c>
      <c r="C65" s="28">
        <f t="shared" si="2"/>
        <v>140862.6</v>
      </c>
      <c r="D65" s="221">
        <v>2394664.2000000002</v>
      </c>
      <c r="E65" s="28">
        <f t="shared" si="3"/>
        <v>141988.6</v>
      </c>
      <c r="F65" s="28">
        <v>2413806.2000000002</v>
      </c>
      <c r="G65" s="29" t="s">
        <v>11</v>
      </c>
      <c r="I65" s="44"/>
    </row>
    <row r="66" spans="1:11">
      <c r="A66" s="37" t="s">
        <v>110</v>
      </c>
      <c r="B66" s="11">
        <v>17.3</v>
      </c>
      <c r="C66" s="12">
        <f t="shared" si="2"/>
        <v>140862.6</v>
      </c>
      <c r="D66" s="217">
        <v>2436922.98</v>
      </c>
      <c r="E66" s="12">
        <f t="shared" si="3"/>
        <v>141988.6</v>
      </c>
      <c r="F66" s="12">
        <v>2456402.7799999998</v>
      </c>
      <c r="G66" s="14" t="s">
        <v>11</v>
      </c>
      <c r="I66" s="44"/>
    </row>
    <row r="67" spans="1:11">
      <c r="A67" s="38" t="s">
        <v>110</v>
      </c>
      <c r="B67" s="11">
        <v>20</v>
      </c>
      <c r="C67" s="12">
        <f t="shared" si="2"/>
        <v>135232.6</v>
      </c>
      <c r="D67" s="217">
        <v>2704652</v>
      </c>
      <c r="E67" s="12">
        <f t="shared" si="3"/>
        <v>136358.6</v>
      </c>
      <c r="F67" s="12">
        <v>2727172</v>
      </c>
      <c r="G67" s="14" t="s">
        <v>11</v>
      </c>
      <c r="I67" s="44"/>
    </row>
    <row r="68" spans="1:11">
      <c r="A68" s="37" t="s">
        <v>110</v>
      </c>
      <c r="B68" s="11">
        <v>20.3</v>
      </c>
      <c r="C68" s="12">
        <f t="shared" si="2"/>
        <v>135232.6</v>
      </c>
      <c r="D68" s="217">
        <v>2745221.78</v>
      </c>
      <c r="E68" s="12">
        <f t="shared" si="3"/>
        <v>136358.6</v>
      </c>
      <c r="F68" s="12">
        <v>2768079.58</v>
      </c>
      <c r="G68" s="14" t="s">
        <v>11</v>
      </c>
      <c r="I68" s="44"/>
    </row>
    <row r="69" spans="1:11">
      <c r="A69" s="15" t="s">
        <v>111</v>
      </c>
      <c r="B69" s="16">
        <v>42.1</v>
      </c>
      <c r="C69" s="17">
        <f t="shared" si="2"/>
        <v>103592</v>
      </c>
      <c r="D69" s="218">
        <v>4361223.2</v>
      </c>
      <c r="E69" s="18">
        <f t="shared" si="3"/>
        <v>104718</v>
      </c>
      <c r="F69" s="13">
        <v>4408627.8</v>
      </c>
      <c r="G69" s="19" t="s">
        <v>11</v>
      </c>
      <c r="I69" s="44"/>
    </row>
    <row r="70" spans="1:11">
      <c r="A70" s="30" t="s">
        <v>112</v>
      </c>
      <c r="B70" s="16">
        <v>46.7</v>
      </c>
      <c r="C70" s="17">
        <f t="shared" si="2"/>
        <v>102466</v>
      </c>
      <c r="D70" s="218">
        <v>4785162.2</v>
      </c>
      <c r="E70" s="18">
        <f t="shared" si="3"/>
        <v>103592</v>
      </c>
      <c r="F70" s="13">
        <v>4837746.4000000004</v>
      </c>
      <c r="G70" s="19" t="s">
        <v>11</v>
      </c>
      <c r="I70" s="44"/>
    </row>
    <row r="71" spans="1:11">
      <c r="A71" s="20" t="s">
        <v>112</v>
      </c>
      <c r="B71" s="21">
        <v>57.1</v>
      </c>
      <c r="C71" s="22">
        <f t="shared" si="2"/>
        <v>92504.278000000006</v>
      </c>
      <c r="D71" s="219">
        <v>5281994.2737999996</v>
      </c>
      <c r="E71" s="24">
        <f t="shared" si="3"/>
        <v>93630.278000000006</v>
      </c>
      <c r="F71" s="23">
        <v>5346288.8738000002</v>
      </c>
      <c r="G71" s="25" t="s">
        <v>11</v>
      </c>
      <c r="I71" s="44"/>
    </row>
    <row r="73" spans="1:11" ht="18.75">
      <c r="A73" s="239" t="s">
        <v>119</v>
      </c>
      <c r="B73" s="1"/>
      <c r="C73" s="1"/>
      <c r="D73" s="1"/>
      <c r="E73" s="4"/>
      <c r="F73" s="4"/>
      <c r="G73" s="4"/>
      <c r="H73" s="4"/>
      <c r="I73" s="4"/>
      <c r="J73" s="4"/>
      <c r="K73" s="1"/>
    </row>
    <row r="74" spans="1:11" ht="45">
      <c r="A74" s="5" t="s">
        <v>41</v>
      </c>
      <c r="B74" s="6" t="s">
        <v>95</v>
      </c>
      <c r="C74" s="7" t="s">
        <v>96</v>
      </c>
      <c r="D74" s="8" t="s">
        <v>97</v>
      </c>
      <c r="E74" s="7" t="s">
        <v>98</v>
      </c>
      <c r="F74" s="7" t="s">
        <v>97</v>
      </c>
      <c r="G74" s="9" t="s">
        <v>99</v>
      </c>
      <c r="H74" s="2"/>
      <c r="I74" s="2"/>
      <c r="J74" s="2"/>
      <c r="K74" s="2"/>
    </row>
    <row r="75" spans="1:11">
      <c r="A75" s="10" t="s">
        <v>100</v>
      </c>
      <c r="B75" s="11">
        <v>20.67</v>
      </c>
      <c r="C75" s="12">
        <f>D75/B75</f>
        <v>126402.5</v>
      </c>
      <c r="D75" s="217">
        <v>2612739.6749999998</v>
      </c>
      <c r="E75" s="13"/>
      <c r="F75" s="13"/>
      <c r="G75" s="14" t="s">
        <v>11</v>
      </c>
      <c r="I75" s="44"/>
    </row>
    <row r="76" spans="1:11" ht="15.75" thickBot="1">
      <c r="A76" s="229" t="s">
        <v>113</v>
      </c>
      <c r="B76" s="230">
        <v>52.97</v>
      </c>
      <c r="C76" s="231">
        <f>D76/B76</f>
        <v>89136.005000000005</v>
      </c>
      <c r="D76" s="232">
        <f>4351644.41*1.085</f>
        <v>4721534.1848499998</v>
      </c>
      <c r="E76" s="23"/>
      <c r="F76" s="23"/>
      <c r="G76" s="233" t="s">
        <v>11</v>
      </c>
      <c r="I76" s="44"/>
    </row>
    <row r="77" spans="1:11">
      <c r="A77" s="236" t="s">
        <v>114</v>
      </c>
      <c r="B77" s="27">
        <v>38.25</v>
      </c>
      <c r="C77" s="28">
        <f>D77/B77</f>
        <v>105787.5</v>
      </c>
      <c r="D77" s="221">
        <f>3729375*1.085</f>
        <v>4046371.875</v>
      </c>
      <c r="E77" s="141"/>
      <c r="F77" s="141"/>
      <c r="G77" s="223" t="s">
        <v>11</v>
      </c>
      <c r="I77" s="44"/>
    </row>
    <row r="78" spans="1:11" ht="15.75" thickBot="1">
      <c r="A78" s="237" t="s">
        <v>114</v>
      </c>
      <c r="B78" s="230">
        <v>40.89</v>
      </c>
      <c r="C78" s="231">
        <f>D78/B78</f>
        <v>101990</v>
      </c>
      <c r="D78" s="232">
        <f>3843660*1.085</f>
        <v>4170371.1</v>
      </c>
      <c r="E78" s="23"/>
      <c r="F78" s="23"/>
      <c r="G78" s="235" t="s">
        <v>11</v>
      </c>
      <c r="I78" s="44"/>
    </row>
    <row r="79" spans="1:11">
      <c r="A79" s="15" t="s">
        <v>101</v>
      </c>
      <c r="B79" s="16">
        <v>38.25</v>
      </c>
      <c r="C79" s="17">
        <f t="shared" ref="C79:C107" si="4">D79/B79</f>
        <v>105787.5</v>
      </c>
      <c r="D79" s="218">
        <v>4046371.875</v>
      </c>
      <c r="E79" s="18">
        <f>F79/B79</f>
        <v>106872.5</v>
      </c>
      <c r="F79" s="13">
        <v>4087873.125</v>
      </c>
      <c r="G79" s="36" t="s">
        <v>50</v>
      </c>
      <c r="H79" s="2"/>
      <c r="I79" s="44"/>
      <c r="K79" s="2"/>
    </row>
    <row r="80" spans="1:11">
      <c r="A80" s="15" t="s">
        <v>102</v>
      </c>
      <c r="B80" s="16">
        <v>43.2</v>
      </c>
      <c r="C80" s="17">
        <f t="shared" si="4"/>
        <v>99820</v>
      </c>
      <c r="D80" s="218">
        <v>4312224</v>
      </c>
      <c r="E80" s="18">
        <f t="shared" ref="E80:E107" si="5">F80/B80</f>
        <v>100905</v>
      </c>
      <c r="F80" s="13">
        <v>4359096</v>
      </c>
      <c r="G80" s="19" t="s">
        <v>50</v>
      </c>
      <c r="H80" s="2"/>
      <c r="I80" s="44"/>
      <c r="K80" s="2"/>
    </row>
    <row r="81" spans="1:11">
      <c r="A81" s="15" t="s">
        <v>102</v>
      </c>
      <c r="B81" s="16">
        <v>45.32</v>
      </c>
      <c r="C81" s="17">
        <f t="shared" si="4"/>
        <v>98735</v>
      </c>
      <c r="D81" s="218">
        <v>4474670.2</v>
      </c>
      <c r="E81" s="18">
        <f t="shared" si="5"/>
        <v>99820</v>
      </c>
      <c r="F81" s="13">
        <v>4523842.4000000004</v>
      </c>
      <c r="G81" s="19" t="s">
        <v>50</v>
      </c>
      <c r="H81" s="2"/>
      <c r="I81" s="44"/>
      <c r="K81" s="2"/>
    </row>
    <row r="82" spans="1:11">
      <c r="A82" s="15" t="s">
        <v>102</v>
      </c>
      <c r="B82" s="16">
        <v>48.45</v>
      </c>
      <c r="C82" s="17">
        <f t="shared" si="4"/>
        <v>95249.98</v>
      </c>
      <c r="D82" s="218">
        <v>4614861.5310000004</v>
      </c>
      <c r="E82" s="18">
        <f t="shared" si="5"/>
        <v>96334.98</v>
      </c>
      <c r="F82" s="13">
        <v>4667429.7810000004</v>
      </c>
      <c r="G82" s="19" t="s">
        <v>50</v>
      </c>
      <c r="H82" s="2"/>
      <c r="I82" s="44"/>
      <c r="K82" s="2"/>
    </row>
    <row r="83" spans="1:11">
      <c r="A83" s="20" t="s">
        <v>102</v>
      </c>
      <c r="B83" s="21">
        <v>55.52</v>
      </c>
      <c r="C83" s="22">
        <f t="shared" si="4"/>
        <v>89136.005000000005</v>
      </c>
      <c r="D83" s="219">
        <v>4948830.9976000004</v>
      </c>
      <c r="E83" s="24">
        <f t="shared" si="5"/>
        <v>90221.005000000005</v>
      </c>
      <c r="F83" s="23">
        <v>5009070.1975999996</v>
      </c>
      <c r="G83" s="25" t="s">
        <v>50</v>
      </c>
      <c r="H83" s="2"/>
      <c r="I83" s="44"/>
      <c r="K83" s="2"/>
    </row>
    <row r="84" spans="1:11">
      <c r="A84" s="26" t="s">
        <v>103</v>
      </c>
      <c r="B84" s="27">
        <v>18.95</v>
      </c>
      <c r="C84" s="28">
        <f t="shared" si="4"/>
        <v>129657.5</v>
      </c>
      <c r="D84" s="217">
        <v>2457009.625</v>
      </c>
      <c r="E84" s="28">
        <f t="shared" si="5"/>
        <v>130742.5</v>
      </c>
      <c r="F84" s="28">
        <v>2477570.375</v>
      </c>
      <c r="G84" s="223" t="s">
        <v>50</v>
      </c>
      <c r="I84" s="44"/>
    </row>
    <row r="85" spans="1:11">
      <c r="A85" s="10" t="s">
        <v>103</v>
      </c>
      <c r="B85" s="11">
        <v>20.67</v>
      </c>
      <c r="C85" s="12">
        <f t="shared" si="4"/>
        <v>126402.5</v>
      </c>
      <c r="D85" s="217">
        <v>2612739.6749999998</v>
      </c>
      <c r="E85" s="12">
        <f t="shared" si="5"/>
        <v>127487.5</v>
      </c>
      <c r="F85" s="12">
        <v>2635166.625</v>
      </c>
      <c r="G85" s="222" t="s">
        <v>50</v>
      </c>
      <c r="I85" s="44"/>
    </row>
    <row r="86" spans="1:11">
      <c r="A86" s="30" t="s">
        <v>104</v>
      </c>
      <c r="B86" s="31">
        <v>34.630000000000003</v>
      </c>
      <c r="C86" s="32">
        <f t="shared" si="4"/>
        <v>109806.34</v>
      </c>
      <c r="D86" s="218">
        <v>3802593.5542000001</v>
      </c>
      <c r="E86" s="33">
        <f t="shared" si="5"/>
        <v>110891.34</v>
      </c>
      <c r="F86" s="13">
        <v>3840167.1041999999</v>
      </c>
      <c r="G86" s="224" t="s">
        <v>50</v>
      </c>
      <c r="I86" s="44"/>
    </row>
    <row r="87" spans="1:11">
      <c r="A87" s="15" t="s">
        <v>105</v>
      </c>
      <c r="B87" s="16">
        <v>38.25</v>
      </c>
      <c r="C87" s="17">
        <f t="shared" si="4"/>
        <v>105787.5</v>
      </c>
      <c r="D87" s="218">
        <v>4046371.875</v>
      </c>
      <c r="E87" s="18">
        <f t="shared" si="5"/>
        <v>106872.5</v>
      </c>
      <c r="F87" s="13">
        <v>4087873.125</v>
      </c>
      <c r="G87" s="224" t="s">
        <v>50</v>
      </c>
      <c r="I87" s="44"/>
    </row>
    <row r="88" spans="1:11">
      <c r="A88" s="34" t="s">
        <v>104</v>
      </c>
      <c r="B88" s="16">
        <v>39</v>
      </c>
      <c r="C88" s="17">
        <f t="shared" si="4"/>
        <v>105542.29</v>
      </c>
      <c r="D88" s="218">
        <v>4116149.31</v>
      </c>
      <c r="E88" s="17">
        <f t="shared" si="5"/>
        <v>106627.29</v>
      </c>
      <c r="F88" s="13">
        <v>4158464.31</v>
      </c>
      <c r="G88" s="224" t="s">
        <v>50</v>
      </c>
      <c r="I88" s="44"/>
    </row>
    <row r="89" spans="1:11">
      <c r="A89" s="30" t="s">
        <v>106</v>
      </c>
      <c r="B89" s="31">
        <v>40.89</v>
      </c>
      <c r="C89" s="32">
        <f t="shared" si="4"/>
        <v>101990</v>
      </c>
      <c r="D89" s="220">
        <v>4170371.1</v>
      </c>
      <c r="E89" s="33">
        <f t="shared" si="5"/>
        <v>103075</v>
      </c>
      <c r="F89" s="35">
        <v>4214736.75</v>
      </c>
      <c r="G89" s="225" t="s">
        <v>50</v>
      </c>
      <c r="I89" s="44"/>
    </row>
    <row r="90" spans="1:11">
      <c r="A90" s="15" t="s">
        <v>106</v>
      </c>
      <c r="B90" s="16">
        <v>43.2</v>
      </c>
      <c r="C90" s="17">
        <f t="shared" si="4"/>
        <v>99820</v>
      </c>
      <c r="D90" s="218">
        <v>4312224</v>
      </c>
      <c r="E90" s="18">
        <f t="shared" si="5"/>
        <v>100905</v>
      </c>
      <c r="F90" s="13">
        <v>4359096</v>
      </c>
      <c r="G90" s="224" t="s">
        <v>50</v>
      </c>
      <c r="I90" s="44"/>
    </row>
    <row r="91" spans="1:11">
      <c r="A91" s="15" t="s">
        <v>106</v>
      </c>
      <c r="B91" s="16">
        <v>45.32</v>
      </c>
      <c r="C91" s="17">
        <f t="shared" si="4"/>
        <v>98735</v>
      </c>
      <c r="D91" s="218">
        <v>4474670.2</v>
      </c>
      <c r="E91" s="18">
        <f t="shared" si="5"/>
        <v>99820</v>
      </c>
      <c r="F91" s="13">
        <v>4523842.4000000004</v>
      </c>
      <c r="G91" s="224" t="s">
        <v>50</v>
      </c>
      <c r="I91" s="44"/>
    </row>
    <row r="92" spans="1:11">
      <c r="A92" s="15" t="s">
        <v>106</v>
      </c>
      <c r="B92" s="16">
        <v>48.45</v>
      </c>
      <c r="C92" s="17">
        <f t="shared" si="4"/>
        <v>95249.98</v>
      </c>
      <c r="D92" s="218">
        <v>4614861.5310000004</v>
      </c>
      <c r="E92" s="18">
        <f t="shared" si="5"/>
        <v>96334.98</v>
      </c>
      <c r="F92" s="13">
        <v>4667429.7810000004</v>
      </c>
      <c r="G92" s="224" t="s">
        <v>50</v>
      </c>
      <c r="I92" s="44"/>
    </row>
    <row r="93" spans="1:11">
      <c r="A93" s="20" t="s">
        <v>106</v>
      </c>
      <c r="B93" s="21">
        <v>55.52</v>
      </c>
      <c r="C93" s="22">
        <f t="shared" si="4"/>
        <v>89136.005000000005</v>
      </c>
      <c r="D93" s="219">
        <v>4948830.9976000004</v>
      </c>
      <c r="E93" s="24">
        <f t="shared" si="5"/>
        <v>90221.005000000005</v>
      </c>
      <c r="F93" s="23">
        <v>5009070.1975999996</v>
      </c>
      <c r="G93" s="226" t="s">
        <v>50</v>
      </c>
      <c r="I93" s="44"/>
    </row>
    <row r="94" spans="1:11">
      <c r="A94" s="26" t="s">
        <v>107</v>
      </c>
      <c r="B94" s="27">
        <v>17</v>
      </c>
      <c r="C94" s="28">
        <f t="shared" si="4"/>
        <v>136818.5</v>
      </c>
      <c r="D94" s="221">
        <v>2325914.5</v>
      </c>
      <c r="E94" s="28">
        <f t="shared" si="5"/>
        <v>137903.5</v>
      </c>
      <c r="F94" s="28">
        <v>2344359.5</v>
      </c>
      <c r="G94" s="223" t="s">
        <v>50</v>
      </c>
      <c r="I94" s="44"/>
    </row>
    <row r="95" spans="1:11">
      <c r="A95" s="37" t="s">
        <v>107</v>
      </c>
      <c r="B95" s="11">
        <v>17.3</v>
      </c>
      <c r="C95" s="12">
        <f t="shared" si="4"/>
        <v>136818.5</v>
      </c>
      <c r="D95" s="217">
        <v>2366960.0499999998</v>
      </c>
      <c r="E95" s="12">
        <f t="shared" si="5"/>
        <v>137903.5</v>
      </c>
      <c r="F95" s="12">
        <v>2385730.5499999998</v>
      </c>
      <c r="G95" s="222" t="s">
        <v>50</v>
      </c>
      <c r="I95" s="44"/>
    </row>
    <row r="96" spans="1:11">
      <c r="A96" s="38" t="s">
        <v>107</v>
      </c>
      <c r="B96" s="11">
        <v>20</v>
      </c>
      <c r="C96" s="12">
        <f t="shared" si="4"/>
        <v>131393.5</v>
      </c>
      <c r="D96" s="217">
        <v>2627870</v>
      </c>
      <c r="E96" s="12">
        <f t="shared" si="5"/>
        <v>132478.5</v>
      </c>
      <c r="F96" s="12">
        <v>2649570</v>
      </c>
      <c r="G96" s="222" t="s">
        <v>50</v>
      </c>
      <c r="I96" s="44"/>
    </row>
    <row r="97" spans="1:9">
      <c r="A97" s="37" t="s">
        <v>107</v>
      </c>
      <c r="B97" s="11">
        <v>20.3</v>
      </c>
      <c r="C97" s="12">
        <f t="shared" si="4"/>
        <v>131393.5</v>
      </c>
      <c r="D97" s="217">
        <v>2667288.0499999998</v>
      </c>
      <c r="E97" s="12">
        <f t="shared" si="5"/>
        <v>132478.5</v>
      </c>
      <c r="F97" s="12">
        <v>2689313.55</v>
      </c>
      <c r="G97" s="222" t="s">
        <v>50</v>
      </c>
      <c r="I97" s="44"/>
    </row>
    <row r="98" spans="1:9">
      <c r="A98" s="15" t="s">
        <v>108</v>
      </c>
      <c r="B98" s="16">
        <v>42.1</v>
      </c>
      <c r="C98" s="17">
        <f t="shared" si="4"/>
        <v>100905</v>
      </c>
      <c r="D98" s="218">
        <v>4248100.5</v>
      </c>
      <c r="E98" s="18">
        <f t="shared" si="5"/>
        <v>101990</v>
      </c>
      <c r="F98" s="13">
        <v>4293779</v>
      </c>
      <c r="G98" s="224" t="s">
        <v>50</v>
      </c>
      <c r="I98" s="44"/>
    </row>
    <row r="99" spans="1:9">
      <c r="A99" s="30" t="s">
        <v>109</v>
      </c>
      <c r="B99" s="16">
        <v>46.7</v>
      </c>
      <c r="C99" s="17">
        <f t="shared" si="4"/>
        <v>99820</v>
      </c>
      <c r="D99" s="218">
        <v>4661594</v>
      </c>
      <c r="E99" s="18">
        <f t="shared" si="5"/>
        <v>100905</v>
      </c>
      <c r="F99" s="13">
        <v>4712263.5</v>
      </c>
      <c r="G99" s="224" t="s">
        <v>50</v>
      </c>
      <c r="I99" s="44"/>
    </row>
    <row r="100" spans="1:9">
      <c r="A100" s="20" t="s">
        <v>109</v>
      </c>
      <c r="B100" s="21">
        <v>57.1</v>
      </c>
      <c r="C100" s="22">
        <f t="shared" si="4"/>
        <v>90221.005000000005</v>
      </c>
      <c r="D100" s="219">
        <v>5151619.3854999999</v>
      </c>
      <c r="E100" s="24">
        <f t="shared" si="5"/>
        <v>91306.005000000005</v>
      </c>
      <c r="F100" s="23">
        <v>5213572.8854999999</v>
      </c>
      <c r="G100" s="226" t="s">
        <v>50</v>
      </c>
      <c r="I100" s="44"/>
    </row>
    <row r="101" spans="1:9">
      <c r="A101" s="26" t="s">
        <v>110</v>
      </c>
      <c r="B101" s="27">
        <v>17</v>
      </c>
      <c r="C101" s="28">
        <f t="shared" si="4"/>
        <v>135733.5</v>
      </c>
      <c r="D101" s="221">
        <v>2307469.5</v>
      </c>
      <c r="E101" s="28">
        <f t="shared" si="5"/>
        <v>136818.5</v>
      </c>
      <c r="F101" s="28">
        <v>2325914.5</v>
      </c>
      <c r="G101" s="29" t="s">
        <v>11</v>
      </c>
      <c r="I101" s="44"/>
    </row>
    <row r="102" spans="1:9">
      <c r="A102" s="37" t="s">
        <v>110</v>
      </c>
      <c r="B102" s="11">
        <v>17.3</v>
      </c>
      <c r="C102" s="12">
        <f t="shared" si="4"/>
        <v>135733.5</v>
      </c>
      <c r="D102" s="217">
        <v>2348189.5499999998</v>
      </c>
      <c r="E102" s="12">
        <f t="shared" si="5"/>
        <v>136818.5</v>
      </c>
      <c r="F102" s="12">
        <v>2366960.0499999998</v>
      </c>
      <c r="G102" s="14" t="s">
        <v>11</v>
      </c>
      <c r="I102" s="44"/>
    </row>
    <row r="103" spans="1:9">
      <c r="A103" s="38" t="s">
        <v>110</v>
      </c>
      <c r="B103" s="11">
        <v>20</v>
      </c>
      <c r="C103" s="12">
        <f t="shared" si="4"/>
        <v>130308.5</v>
      </c>
      <c r="D103" s="217">
        <v>2606170</v>
      </c>
      <c r="E103" s="12">
        <f t="shared" si="5"/>
        <v>131393.5</v>
      </c>
      <c r="F103" s="12">
        <v>2627870</v>
      </c>
      <c r="G103" s="14" t="s">
        <v>11</v>
      </c>
      <c r="I103" s="44"/>
    </row>
    <row r="104" spans="1:9">
      <c r="A104" s="37" t="s">
        <v>110</v>
      </c>
      <c r="B104" s="11">
        <v>20.3</v>
      </c>
      <c r="C104" s="12">
        <f t="shared" si="4"/>
        <v>130308.5</v>
      </c>
      <c r="D104" s="217">
        <v>2645262.5499999998</v>
      </c>
      <c r="E104" s="12">
        <f t="shared" si="5"/>
        <v>131393.5</v>
      </c>
      <c r="F104" s="12">
        <v>2667288.0499999998</v>
      </c>
      <c r="G104" s="14" t="s">
        <v>11</v>
      </c>
      <c r="I104" s="44"/>
    </row>
    <row r="105" spans="1:9">
      <c r="A105" s="15" t="s">
        <v>111</v>
      </c>
      <c r="B105" s="16">
        <v>42.1</v>
      </c>
      <c r="C105" s="17">
        <f t="shared" si="4"/>
        <v>99820</v>
      </c>
      <c r="D105" s="218">
        <v>4202422</v>
      </c>
      <c r="E105" s="18">
        <f t="shared" si="5"/>
        <v>100905</v>
      </c>
      <c r="F105" s="13">
        <v>4248100.5</v>
      </c>
      <c r="G105" s="19" t="s">
        <v>11</v>
      </c>
      <c r="I105" s="44"/>
    </row>
    <row r="106" spans="1:9">
      <c r="A106" s="30" t="s">
        <v>112</v>
      </c>
      <c r="B106" s="16">
        <v>46.7</v>
      </c>
      <c r="C106" s="17">
        <f t="shared" si="4"/>
        <v>98735</v>
      </c>
      <c r="D106" s="218">
        <v>4610924.5</v>
      </c>
      <c r="E106" s="18">
        <f t="shared" si="5"/>
        <v>99820</v>
      </c>
      <c r="F106" s="13">
        <v>4661594</v>
      </c>
      <c r="G106" s="19" t="s">
        <v>11</v>
      </c>
      <c r="I106" s="44"/>
    </row>
    <row r="107" spans="1:9">
      <c r="A107" s="20" t="s">
        <v>112</v>
      </c>
      <c r="B107" s="21">
        <v>57.1</v>
      </c>
      <c r="C107" s="22">
        <f t="shared" si="4"/>
        <v>89136.005000000005</v>
      </c>
      <c r="D107" s="219">
        <v>5089665.8854999999</v>
      </c>
      <c r="E107" s="24">
        <f t="shared" si="5"/>
        <v>90221.005000000005</v>
      </c>
      <c r="F107" s="23">
        <v>5151619.3854999999</v>
      </c>
      <c r="G107" s="25" t="s">
        <v>11</v>
      </c>
      <c r="I107" s="44"/>
    </row>
  </sheetData>
  <pageMargins left="0.511811023622047" right="0.118110236220472" top="0.35433070866141703" bottom="0.35433070866141703" header="0.31496062992126" footer="0.31496062992126"/>
  <pageSetup paperSize="9" scale="8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8"/>
  <sheetViews>
    <sheetView tabSelected="1" zoomScale="90" zoomScaleNormal="90" workbookViewId="0">
      <selection activeCell="A110" sqref="A110"/>
    </sheetView>
  </sheetViews>
  <sheetFormatPr defaultColWidth="8.85546875" defaultRowHeight="15"/>
  <cols>
    <col min="1" max="1" width="14.42578125" style="3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28515625" customWidth="1"/>
    <col min="13" max="13" width="8.85546875" customWidth="1"/>
  </cols>
  <sheetData>
    <row r="1" spans="1:10" s="1" customFormat="1" ht="18.75">
      <c r="A1" s="239" t="s">
        <v>128</v>
      </c>
      <c r="E1" s="4"/>
      <c r="F1" s="4"/>
      <c r="G1" s="4"/>
      <c r="H1" s="4"/>
      <c r="I1" s="4"/>
      <c r="J1" s="4"/>
    </row>
    <row r="2" spans="1:10" s="2" customFormat="1" ht="45">
      <c r="A2" s="5" t="s">
        <v>41</v>
      </c>
      <c r="B2" s="6" t="s">
        <v>95</v>
      </c>
      <c r="C2" s="7" t="s">
        <v>96</v>
      </c>
      <c r="D2" s="8" t="s">
        <v>97</v>
      </c>
      <c r="E2" s="7" t="s">
        <v>98</v>
      </c>
      <c r="F2" s="7" t="s">
        <v>97</v>
      </c>
      <c r="G2" s="9" t="s">
        <v>99</v>
      </c>
    </row>
    <row r="3" spans="1:10">
      <c r="A3" s="10" t="s">
        <v>100</v>
      </c>
      <c r="B3" s="11">
        <v>20.67</v>
      </c>
      <c r="C3" s="12">
        <v>116500</v>
      </c>
      <c r="D3" s="217">
        <f>C3*B3</f>
        <v>2408055</v>
      </c>
      <c r="E3" s="13"/>
      <c r="F3" s="13"/>
      <c r="G3" s="14" t="s">
        <v>11</v>
      </c>
      <c r="I3" s="44"/>
    </row>
    <row r="4" spans="1:10" ht="15.75" thickBot="1">
      <c r="A4" s="229" t="s">
        <v>113</v>
      </c>
      <c r="B4" s="230">
        <v>52.97</v>
      </c>
      <c r="C4" s="231">
        <v>82153</v>
      </c>
      <c r="D4" s="232">
        <f>C4*B4</f>
        <v>4351644.41</v>
      </c>
      <c r="E4" s="23"/>
      <c r="F4" s="23"/>
      <c r="G4" s="233" t="s">
        <v>11</v>
      </c>
      <c r="I4" s="44"/>
    </row>
    <row r="5" spans="1:10">
      <c r="A5" s="236" t="s">
        <v>114</v>
      </c>
      <c r="B5" s="27">
        <v>38.25</v>
      </c>
      <c r="C5" s="28">
        <v>97500</v>
      </c>
      <c r="D5" s="221">
        <f>C5*B5</f>
        <v>3729375</v>
      </c>
      <c r="E5" s="141"/>
      <c r="F5" s="141"/>
      <c r="G5" s="223" t="s">
        <v>11</v>
      </c>
      <c r="I5" s="44"/>
    </row>
    <row r="6" spans="1:10" ht="15.75" thickBot="1">
      <c r="A6" s="237" t="s">
        <v>114</v>
      </c>
      <c r="B6" s="230">
        <v>40.89</v>
      </c>
      <c r="C6" s="231">
        <v>94000</v>
      </c>
      <c r="D6" s="232">
        <f>C6*B6</f>
        <v>3843660</v>
      </c>
      <c r="E6" s="23"/>
      <c r="F6" s="23"/>
      <c r="G6" s="235" t="s">
        <v>11</v>
      </c>
      <c r="I6" s="44"/>
    </row>
    <row r="7" spans="1:10" s="2" customFormat="1">
      <c r="A7" s="30" t="s">
        <v>101</v>
      </c>
      <c r="B7" s="31">
        <v>38.25</v>
      </c>
      <c r="C7" s="32">
        <v>97500</v>
      </c>
      <c r="D7" s="220">
        <f>C7*B7</f>
        <v>3729375</v>
      </c>
      <c r="E7" s="33">
        <v>98500</v>
      </c>
      <c r="F7" s="35">
        <f>E7*B7</f>
        <v>3767625</v>
      </c>
      <c r="G7" s="36" t="s">
        <v>50</v>
      </c>
      <c r="I7" s="44"/>
    </row>
    <row r="8" spans="1:10" s="2" customFormat="1">
      <c r="A8" s="15" t="s">
        <v>102</v>
      </c>
      <c r="B8" s="16">
        <v>43.2</v>
      </c>
      <c r="C8" s="17">
        <v>92000</v>
      </c>
      <c r="D8" s="218">
        <f t="shared" ref="D8:D11" si="0">C8*B8</f>
        <v>3974400</v>
      </c>
      <c r="E8" s="18">
        <v>93000</v>
      </c>
      <c r="F8" s="13">
        <f t="shared" ref="F8:F13" si="1">E8*B8</f>
        <v>4017600</v>
      </c>
      <c r="G8" s="19" t="s">
        <v>50</v>
      </c>
      <c r="I8" s="44"/>
    </row>
    <row r="9" spans="1:10" s="2" customFormat="1">
      <c r="A9" s="15" t="s">
        <v>102</v>
      </c>
      <c r="B9" s="16">
        <v>45.32</v>
      </c>
      <c r="C9" s="17">
        <v>91000</v>
      </c>
      <c r="D9" s="218">
        <f t="shared" si="0"/>
        <v>4124120</v>
      </c>
      <c r="E9" s="18">
        <v>92000</v>
      </c>
      <c r="F9" s="13">
        <f t="shared" si="1"/>
        <v>4169440</v>
      </c>
      <c r="G9" s="19" t="s">
        <v>50</v>
      </c>
      <c r="I9" s="44"/>
    </row>
    <row r="10" spans="1:10" s="2" customFormat="1">
      <c r="A10" s="15" t="s">
        <v>102</v>
      </c>
      <c r="B10" s="16">
        <v>48.45</v>
      </c>
      <c r="C10" s="17">
        <v>87788</v>
      </c>
      <c r="D10" s="218">
        <f t="shared" si="0"/>
        <v>4253328.5999999996</v>
      </c>
      <c r="E10" s="18">
        <v>88788</v>
      </c>
      <c r="F10" s="13">
        <f t="shared" si="1"/>
        <v>4301778.5999999996</v>
      </c>
      <c r="G10" s="19" t="s">
        <v>50</v>
      </c>
      <c r="I10" s="44"/>
    </row>
    <row r="11" spans="1:10" s="2" customFormat="1">
      <c r="A11" s="20" t="s">
        <v>102</v>
      </c>
      <c r="B11" s="21">
        <v>55.52</v>
      </c>
      <c r="C11" s="22">
        <v>82153</v>
      </c>
      <c r="D11" s="219">
        <f t="shared" si="0"/>
        <v>4561134.5599999996</v>
      </c>
      <c r="E11" s="24">
        <v>83153</v>
      </c>
      <c r="F11" s="23">
        <f t="shared" si="1"/>
        <v>4616654.5599999996</v>
      </c>
      <c r="G11" s="25" t="s">
        <v>50</v>
      </c>
      <c r="I11" s="44"/>
    </row>
    <row r="12" spans="1:10">
      <c r="A12" s="26" t="s">
        <v>103</v>
      </c>
      <c r="B12" s="27">
        <v>18.95</v>
      </c>
      <c r="C12" s="28">
        <v>119500</v>
      </c>
      <c r="D12" s="217">
        <f>B12*C12</f>
        <v>2264525</v>
      </c>
      <c r="E12" s="28">
        <v>120500</v>
      </c>
      <c r="F12" s="28">
        <f t="shared" si="1"/>
        <v>2283475</v>
      </c>
      <c r="G12" s="223" t="s">
        <v>50</v>
      </c>
      <c r="I12" s="44"/>
    </row>
    <row r="13" spans="1:10">
      <c r="A13" s="10" t="s">
        <v>103</v>
      </c>
      <c r="B13" s="11">
        <v>20.67</v>
      </c>
      <c r="C13" s="12">
        <v>116500</v>
      </c>
      <c r="D13" s="217">
        <f>C13*B13</f>
        <v>2408055</v>
      </c>
      <c r="E13" s="12">
        <v>117500</v>
      </c>
      <c r="F13" s="12">
        <f t="shared" si="1"/>
        <v>2428725</v>
      </c>
      <c r="G13" s="222" t="s">
        <v>50</v>
      </c>
      <c r="I13" s="44"/>
    </row>
    <row r="14" spans="1:10">
      <c r="A14" s="30" t="s">
        <v>104</v>
      </c>
      <c r="B14" s="31">
        <v>34.630000000000003</v>
      </c>
      <c r="C14" s="32">
        <v>101204</v>
      </c>
      <c r="D14" s="218">
        <f t="shared" ref="D14:D16" si="2">C14*B14</f>
        <v>3504694.52</v>
      </c>
      <c r="E14" s="33">
        <v>102204</v>
      </c>
      <c r="F14" s="13">
        <f t="shared" ref="F14:F16" si="3">E14*B14</f>
        <v>3539324.52</v>
      </c>
      <c r="G14" s="224" t="s">
        <v>50</v>
      </c>
      <c r="I14" s="44"/>
    </row>
    <row r="15" spans="1:10">
      <c r="A15" s="15" t="s">
        <v>105</v>
      </c>
      <c r="B15" s="16">
        <v>38.25</v>
      </c>
      <c r="C15" s="17">
        <v>97500</v>
      </c>
      <c r="D15" s="218">
        <f t="shared" si="2"/>
        <v>3729375</v>
      </c>
      <c r="E15" s="18">
        <v>98500</v>
      </c>
      <c r="F15" s="13">
        <f t="shared" si="3"/>
        <v>3767625</v>
      </c>
      <c r="G15" s="224" t="s">
        <v>50</v>
      </c>
      <c r="I15" s="44"/>
    </row>
    <row r="16" spans="1:10">
      <c r="A16" s="34" t="s">
        <v>104</v>
      </c>
      <c r="B16" s="16">
        <v>39</v>
      </c>
      <c r="C16" s="17">
        <v>97274</v>
      </c>
      <c r="D16" s="218">
        <f t="shared" si="2"/>
        <v>3793686</v>
      </c>
      <c r="E16" s="17">
        <v>98274</v>
      </c>
      <c r="F16" s="13">
        <f t="shared" si="3"/>
        <v>3832686</v>
      </c>
      <c r="G16" s="224" t="s">
        <v>50</v>
      </c>
      <c r="I16" s="44"/>
    </row>
    <row r="17" spans="1:9">
      <c r="A17" s="30" t="s">
        <v>106</v>
      </c>
      <c r="B17" s="31">
        <v>40.89</v>
      </c>
      <c r="C17" s="32">
        <v>94000</v>
      </c>
      <c r="D17" s="220">
        <f t="shared" ref="D17:D28" si="4">C17*B17</f>
        <v>3843660</v>
      </c>
      <c r="E17" s="33">
        <v>95000</v>
      </c>
      <c r="F17" s="35">
        <f t="shared" ref="F17:F28" si="5">E17*B17</f>
        <v>3884550</v>
      </c>
      <c r="G17" s="225" t="s">
        <v>50</v>
      </c>
      <c r="I17" s="44"/>
    </row>
    <row r="18" spans="1:9">
      <c r="A18" s="15" t="s">
        <v>106</v>
      </c>
      <c r="B18" s="16">
        <v>43.2</v>
      </c>
      <c r="C18" s="17">
        <v>92000</v>
      </c>
      <c r="D18" s="218">
        <f t="shared" si="4"/>
        <v>3974400</v>
      </c>
      <c r="E18" s="18">
        <v>93000</v>
      </c>
      <c r="F18" s="13">
        <f t="shared" si="5"/>
        <v>4017600</v>
      </c>
      <c r="G18" s="224" t="s">
        <v>50</v>
      </c>
      <c r="I18" s="44"/>
    </row>
    <row r="19" spans="1:9">
      <c r="A19" s="15" t="s">
        <v>106</v>
      </c>
      <c r="B19" s="16">
        <v>45.32</v>
      </c>
      <c r="C19" s="17">
        <v>91000</v>
      </c>
      <c r="D19" s="218">
        <f t="shared" si="4"/>
        <v>4124120</v>
      </c>
      <c r="E19" s="18">
        <v>92000</v>
      </c>
      <c r="F19" s="13">
        <f t="shared" si="5"/>
        <v>4169440</v>
      </c>
      <c r="G19" s="224" t="s">
        <v>50</v>
      </c>
      <c r="I19" s="44"/>
    </row>
    <row r="20" spans="1:9">
      <c r="A20" s="15" t="s">
        <v>106</v>
      </c>
      <c r="B20" s="16">
        <v>48.45</v>
      </c>
      <c r="C20" s="17">
        <v>87788</v>
      </c>
      <c r="D20" s="218">
        <f t="shared" si="4"/>
        <v>4253328.5999999996</v>
      </c>
      <c r="E20" s="18">
        <v>88788</v>
      </c>
      <c r="F20" s="13">
        <f t="shared" si="5"/>
        <v>4301778.5999999996</v>
      </c>
      <c r="G20" s="224" t="s">
        <v>50</v>
      </c>
      <c r="I20" s="44"/>
    </row>
    <row r="21" spans="1:9">
      <c r="A21" s="20" t="s">
        <v>106</v>
      </c>
      <c r="B21" s="21">
        <v>55.52</v>
      </c>
      <c r="C21" s="22">
        <v>82153</v>
      </c>
      <c r="D21" s="219">
        <f t="shared" si="4"/>
        <v>4561134.5599999996</v>
      </c>
      <c r="E21" s="24">
        <v>83153</v>
      </c>
      <c r="F21" s="23">
        <f t="shared" si="5"/>
        <v>4616654.5599999996</v>
      </c>
      <c r="G21" s="226" t="s">
        <v>50</v>
      </c>
      <c r="I21" s="44"/>
    </row>
    <row r="22" spans="1:9">
      <c r="A22" s="26" t="s">
        <v>107</v>
      </c>
      <c r="B22" s="27">
        <v>17</v>
      </c>
      <c r="C22" s="28">
        <f>125100+1000</f>
        <v>126100</v>
      </c>
      <c r="D22" s="221">
        <f t="shared" si="4"/>
        <v>2143700</v>
      </c>
      <c r="E22" s="28">
        <f>126100+1000</f>
        <v>127100</v>
      </c>
      <c r="F22" s="28">
        <f t="shared" si="5"/>
        <v>2160700</v>
      </c>
      <c r="G22" s="223" t="s">
        <v>50</v>
      </c>
      <c r="I22" s="44"/>
    </row>
    <row r="23" spans="1:9">
      <c r="A23" s="37" t="s">
        <v>107</v>
      </c>
      <c r="B23" s="11">
        <v>17.3</v>
      </c>
      <c r="C23" s="12">
        <f>125100+1000</f>
        <v>126100</v>
      </c>
      <c r="D23" s="217">
        <f t="shared" si="4"/>
        <v>2181530</v>
      </c>
      <c r="E23" s="12">
        <f>126100+1000</f>
        <v>127100</v>
      </c>
      <c r="F23" s="12">
        <f t="shared" si="5"/>
        <v>2198830</v>
      </c>
      <c r="G23" s="222" t="s">
        <v>50</v>
      </c>
      <c r="I23" s="44"/>
    </row>
    <row r="24" spans="1:9">
      <c r="A24" s="38" t="s">
        <v>107</v>
      </c>
      <c r="B24" s="11">
        <v>20</v>
      </c>
      <c r="C24" s="12">
        <f>120100+1000</f>
        <v>121100</v>
      </c>
      <c r="D24" s="217">
        <f t="shared" si="4"/>
        <v>2422000</v>
      </c>
      <c r="E24" s="12">
        <f>121100+1000</f>
        <v>122100</v>
      </c>
      <c r="F24" s="12">
        <f t="shared" si="5"/>
        <v>2442000</v>
      </c>
      <c r="G24" s="222" t="s">
        <v>50</v>
      </c>
      <c r="I24" s="44"/>
    </row>
    <row r="25" spans="1:9">
      <c r="A25" s="37" t="s">
        <v>107</v>
      </c>
      <c r="B25" s="11">
        <v>20.3</v>
      </c>
      <c r="C25" s="12">
        <f>120100+1000</f>
        <v>121100</v>
      </c>
      <c r="D25" s="217">
        <f t="shared" si="4"/>
        <v>2458330</v>
      </c>
      <c r="E25" s="12">
        <f>121100+1000</f>
        <v>122100</v>
      </c>
      <c r="F25" s="12">
        <f t="shared" si="5"/>
        <v>2478630</v>
      </c>
      <c r="G25" s="222" t="s">
        <v>50</v>
      </c>
      <c r="I25" s="44"/>
    </row>
    <row r="26" spans="1:9">
      <c r="A26" s="15" t="s">
        <v>108</v>
      </c>
      <c r="B26" s="16">
        <v>42.1</v>
      </c>
      <c r="C26" s="17">
        <f>92000+1000</f>
        <v>93000</v>
      </c>
      <c r="D26" s="218">
        <f t="shared" si="4"/>
        <v>3915300</v>
      </c>
      <c r="E26" s="18">
        <f>93000+1000</f>
        <v>94000</v>
      </c>
      <c r="F26" s="13">
        <f t="shared" si="5"/>
        <v>3957400</v>
      </c>
      <c r="G26" s="224" t="s">
        <v>50</v>
      </c>
      <c r="I26" s="44"/>
    </row>
    <row r="27" spans="1:9">
      <c r="A27" s="30" t="s">
        <v>109</v>
      </c>
      <c r="B27" s="16">
        <v>46.7</v>
      </c>
      <c r="C27" s="17">
        <f>91000+1000</f>
        <v>92000</v>
      </c>
      <c r="D27" s="218">
        <f t="shared" si="4"/>
        <v>4296400</v>
      </c>
      <c r="E27" s="18">
        <f>92000+1000</f>
        <v>93000</v>
      </c>
      <c r="F27" s="13">
        <f t="shared" si="5"/>
        <v>4343100</v>
      </c>
      <c r="G27" s="224" t="s">
        <v>50</v>
      </c>
      <c r="I27" s="44"/>
    </row>
    <row r="28" spans="1:9">
      <c r="A28" s="20" t="s">
        <v>109</v>
      </c>
      <c r="B28" s="21">
        <v>57.1</v>
      </c>
      <c r="C28" s="22">
        <f>82153+1000</f>
        <v>83153</v>
      </c>
      <c r="D28" s="219">
        <f t="shared" si="4"/>
        <v>4748036.3</v>
      </c>
      <c r="E28" s="24">
        <f>83153+1000</f>
        <v>84153</v>
      </c>
      <c r="F28" s="23">
        <f t="shared" si="5"/>
        <v>4805136.3</v>
      </c>
      <c r="G28" s="226" t="s">
        <v>50</v>
      </c>
      <c r="I28" s="44"/>
    </row>
    <row r="29" spans="1:9">
      <c r="A29" s="26" t="s">
        <v>110</v>
      </c>
      <c r="B29" s="27">
        <v>17</v>
      </c>
      <c r="C29" s="28">
        <v>125100</v>
      </c>
      <c r="D29" s="221">
        <f t="shared" ref="D29:D35" si="6">C29*B29</f>
        <v>2126700</v>
      </c>
      <c r="E29" s="28">
        <v>126100</v>
      </c>
      <c r="F29" s="28">
        <f t="shared" ref="F29:F35" si="7">E29*B29</f>
        <v>2143700</v>
      </c>
      <c r="G29" s="29" t="s">
        <v>11</v>
      </c>
      <c r="I29" s="44"/>
    </row>
    <row r="30" spans="1:9">
      <c r="A30" s="37" t="s">
        <v>110</v>
      </c>
      <c r="B30" s="11">
        <v>17.3</v>
      </c>
      <c r="C30" s="12">
        <v>125100</v>
      </c>
      <c r="D30" s="217">
        <f t="shared" si="6"/>
        <v>2164230</v>
      </c>
      <c r="E30" s="12">
        <v>126100</v>
      </c>
      <c r="F30" s="12">
        <f t="shared" si="7"/>
        <v>2181530</v>
      </c>
      <c r="G30" s="14" t="s">
        <v>11</v>
      </c>
      <c r="I30" s="44"/>
    </row>
    <row r="31" spans="1:9">
      <c r="A31" s="38" t="s">
        <v>110</v>
      </c>
      <c r="B31" s="11">
        <v>20</v>
      </c>
      <c r="C31" s="12">
        <v>120100</v>
      </c>
      <c r="D31" s="217">
        <f t="shared" si="6"/>
        <v>2402000</v>
      </c>
      <c r="E31" s="12">
        <v>121100</v>
      </c>
      <c r="F31" s="12">
        <f t="shared" si="7"/>
        <v>2422000</v>
      </c>
      <c r="G31" s="14" t="s">
        <v>11</v>
      </c>
      <c r="I31" s="44"/>
    </row>
    <row r="32" spans="1:9">
      <c r="A32" s="37" t="s">
        <v>110</v>
      </c>
      <c r="B32" s="11">
        <v>20.3</v>
      </c>
      <c r="C32" s="12">
        <v>120100</v>
      </c>
      <c r="D32" s="217">
        <f t="shared" si="6"/>
        <v>2438030</v>
      </c>
      <c r="E32" s="12">
        <v>121100</v>
      </c>
      <c r="F32" s="12">
        <f t="shared" si="7"/>
        <v>2458330</v>
      </c>
      <c r="G32" s="14" t="s">
        <v>11</v>
      </c>
      <c r="I32" s="44"/>
    </row>
    <row r="33" spans="1:10">
      <c r="A33" s="15" t="s">
        <v>111</v>
      </c>
      <c r="B33" s="16">
        <v>42.1</v>
      </c>
      <c r="C33" s="17">
        <v>92000</v>
      </c>
      <c r="D33" s="218">
        <f t="shared" si="6"/>
        <v>3873200</v>
      </c>
      <c r="E33" s="18">
        <v>93000</v>
      </c>
      <c r="F33" s="13">
        <f t="shared" si="7"/>
        <v>3915300</v>
      </c>
      <c r="G33" s="19" t="s">
        <v>11</v>
      </c>
      <c r="I33" s="44"/>
    </row>
    <row r="34" spans="1:10">
      <c r="A34" s="30" t="s">
        <v>112</v>
      </c>
      <c r="B34" s="16">
        <v>46.7</v>
      </c>
      <c r="C34" s="17">
        <v>91000</v>
      </c>
      <c r="D34" s="218">
        <f t="shared" si="6"/>
        <v>4249700</v>
      </c>
      <c r="E34" s="18">
        <v>92000</v>
      </c>
      <c r="F34" s="13">
        <f t="shared" si="7"/>
        <v>4296400</v>
      </c>
      <c r="G34" s="19" t="s">
        <v>11</v>
      </c>
      <c r="I34" s="44"/>
    </row>
    <row r="35" spans="1:10">
      <c r="A35" s="20" t="s">
        <v>112</v>
      </c>
      <c r="B35" s="21">
        <v>57.1</v>
      </c>
      <c r="C35" s="22">
        <v>82153</v>
      </c>
      <c r="D35" s="219">
        <f t="shared" si="6"/>
        <v>4690936.3</v>
      </c>
      <c r="E35" s="24">
        <v>83153</v>
      </c>
      <c r="F35" s="23">
        <f t="shared" si="7"/>
        <v>4748036.3</v>
      </c>
      <c r="G35" s="25" t="s">
        <v>11</v>
      </c>
      <c r="I35" s="44"/>
    </row>
    <row r="36" spans="1:10">
      <c r="A36" s="39"/>
      <c r="B36" s="40"/>
      <c r="C36" s="41"/>
      <c r="D36" s="42"/>
      <c r="E36" s="43"/>
      <c r="F36" s="42"/>
      <c r="G36" s="39"/>
      <c r="I36" s="44"/>
    </row>
    <row r="37" spans="1:10" s="1" customFormat="1" ht="27.75" customHeight="1">
      <c r="A37" s="239" t="s">
        <v>129</v>
      </c>
      <c r="E37" s="4"/>
      <c r="G37" s="4"/>
      <c r="H37" s="4"/>
      <c r="I37" s="4"/>
      <c r="J37" s="4"/>
    </row>
    <row r="38" spans="1:10" ht="45">
      <c r="A38" s="5" t="s">
        <v>41</v>
      </c>
      <c r="B38" s="6" t="s">
        <v>95</v>
      </c>
      <c r="C38" s="7" t="s">
        <v>96</v>
      </c>
      <c r="D38" s="8" t="s">
        <v>97</v>
      </c>
      <c r="E38" s="7" t="s">
        <v>98</v>
      </c>
      <c r="F38" s="7" t="s">
        <v>97</v>
      </c>
      <c r="G38" s="9" t="s">
        <v>99</v>
      </c>
      <c r="I38" s="45"/>
    </row>
    <row r="39" spans="1:10">
      <c r="A39" s="10" t="s">
        <v>100</v>
      </c>
      <c r="B39" s="11">
        <v>20.67</v>
      </c>
      <c r="C39" s="12">
        <f>D39/B39</f>
        <v>133975</v>
      </c>
      <c r="D39" s="217">
        <f>D3*1.15</f>
        <v>2769263.25</v>
      </c>
      <c r="E39" s="13"/>
      <c r="F39" s="13"/>
      <c r="G39" s="14" t="s">
        <v>11</v>
      </c>
      <c r="I39" s="44"/>
    </row>
    <row r="40" spans="1:10" ht="15.75" thickBot="1">
      <c r="A40" s="229" t="s">
        <v>113</v>
      </c>
      <c r="B40" s="230">
        <v>52.97</v>
      </c>
      <c r="C40" s="231">
        <f>D40/B40</f>
        <v>94475.95</v>
      </c>
      <c r="D40" s="232">
        <f>4351644.41*1.15</f>
        <v>5004391.0714999996</v>
      </c>
      <c r="E40" s="23"/>
      <c r="F40" s="23"/>
      <c r="G40" s="233" t="s">
        <v>11</v>
      </c>
      <c r="I40" s="44"/>
    </row>
    <row r="41" spans="1:10">
      <c r="A41" s="234" t="s">
        <v>114</v>
      </c>
      <c r="B41" s="27">
        <v>38.25</v>
      </c>
      <c r="C41" s="28">
        <f>D41/B41</f>
        <v>112125</v>
      </c>
      <c r="D41" s="221">
        <f>3729375*1.15</f>
        <v>4288781.25</v>
      </c>
      <c r="E41" s="141"/>
      <c r="F41" s="141"/>
      <c r="G41" s="223" t="s">
        <v>11</v>
      </c>
      <c r="I41" s="44"/>
    </row>
    <row r="42" spans="1:10" ht="15.75" thickBot="1">
      <c r="A42" s="229" t="s">
        <v>114</v>
      </c>
      <c r="B42" s="230">
        <v>40.89</v>
      </c>
      <c r="C42" s="231">
        <f>D42/B42</f>
        <v>108100</v>
      </c>
      <c r="D42" s="232">
        <f>3843660*1.15</f>
        <v>4420209</v>
      </c>
      <c r="E42" s="23"/>
      <c r="F42" s="23"/>
      <c r="G42" s="235" t="s">
        <v>11</v>
      </c>
      <c r="I42" s="44"/>
    </row>
    <row r="43" spans="1:10">
      <c r="A43" s="30" t="s">
        <v>101</v>
      </c>
      <c r="B43" s="31">
        <v>38.25</v>
      </c>
      <c r="C43" s="32">
        <f>D43/B43</f>
        <v>112125</v>
      </c>
      <c r="D43" s="220">
        <v>4288781.25</v>
      </c>
      <c r="E43" s="33">
        <f>F43/B43</f>
        <v>113275</v>
      </c>
      <c r="F43" s="35">
        <v>4332768.75</v>
      </c>
      <c r="G43" s="36" t="s">
        <v>50</v>
      </c>
      <c r="I43" s="45"/>
      <c r="J43" s="45"/>
    </row>
    <row r="44" spans="1:10">
      <c r="A44" s="15" t="s">
        <v>102</v>
      </c>
      <c r="B44" s="16">
        <v>43.2</v>
      </c>
      <c r="C44" s="17">
        <f t="shared" ref="C44:C71" si="8">D44/B44</f>
        <v>105800</v>
      </c>
      <c r="D44" s="218">
        <v>4570560</v>
      </c>
      <c r="E44" s="18">
        <f t="shared" ref="E44:E71" si="9">F44/B44</f>
        <v>106950</v>
      </c>
      <c r="F44" s="13">
        <v>4620240</v>
      </c>
      <c r="G44" s="19" t="s">
        <v>50</v>
      </c>
    </row>
    <row r="45" spans="1:10">
      <c r="A45" s="15" t="s">
        <v>102</v>
      </c>
      <c r="B45" s="16">
        <v>45.32</v>
      </c>
      <c r="C45" s="17">
        <f t="shared" si="8"/>
        <v>104650</v>
      </c>
      <c r="D45" s="218">
        <v>4742738</v>
      </c>
      <c r="E45" s="18">
        <f t="shared" si="9"/>
        <v>105800</v>
      </c>
      <c r="F45" s="13">
        <v>4794856</v>
      </c>
      <c r="G45" s="19" t="s">
        <v>50</v>
      </c>
    </row>
    <row r="46" spans="1:10">
      <c r="A46" s="15" t="s">
        <v>102</v>
      </c>
      <c r="B46" s="16">
        <v>48.45</v>
      </c>
      <c r="C46" s="17">
        <f t="shared" si="8"/>
        <v>100956.2</v>
      </c>
      <c r="D46" s="218">
        <v>4891327.8899999997</v>
      </c>
      <c r="E46" s="18">
        <f t="shared" si="9"/>
        <v>102106.2</v>
      </c>
      <c r="F46" s="13">
        <v>4947045.3899999997</v>
      </c>
      <c r="G46" s="19" t="s">
        <v>50</v>
      </c>
    </row>
    <row r="47" spans="1:10">
      <c r="A47" s="20" t="s">
        <v>102</v>
      </c>
      <c r="B47" s="21">
        <v>55.52</v>
      </c>
      <c r="C47" s="22">
        <f t="shared" si="8"/>
        <v>94475.95</v>
      </c>
      <c r="D47" s="219">
        <v>5245304.7439999999</v>
      </c>
      <c r="E47" s="24">
        <f t="shared" si="9"/>
        <v>95625.95</v>
      </c>
      <c r="F47" s="23">
        <v>5309152.7439999999</v>
      </c>
      <c r="G47" s="25" t="s">
        <v>50</v>
      </c>
    </row>
    <row r="48" spans="1:10">
      <c r="A48" s="26" t="s">
        <v>103</v>
      </c>
      <c r="B48" s="27">
        <v>18.95</v>
      </c>
      <c r="C48" s="28">
        <f t="shared" si="8"/>
        <v>137425</v>
      </c>
      <c r="D48" s="217">
        <v>2604203.75</v>
      </c>
      <c r="E48" s="28">
        <f t="shared" si="9"/>
        <v>138575</v>
      </c>
      <c r="F48" s="28">
        <v>2625996.25</v>
      </c>
      <c r="G48" s="223" t="s">
        <v>50</v>
      </c>
    </row>
    <row r="49" spans="1:9">
      <c r="A49" s="10" t="s">
        <v>103</v>
      </c>
      <c r="B49" s="11">
        <v>20.67</v>
      </c>
      <c r="C49" s="12">
        <f t="shared" si="8"/>
        <v>133975</v>
      </c>
      <c r="D49" s="217">
        <v>2769263.25</v>
      </c>
      <c r="E49" s="12">
        <f t="shared" si="9"/>
        <v>135125</v>
      </c>
      <c r="F49" s="12">
        <v>2793033.75</v>
      </c>
      <c r="G49" s="222" t="s">
        <v>50</v>
      </c>
    </row>
    <row r="50" spans="1:9">
      <c r="A50" s="30" t="s">
        <v>104</v>
      </c>
      <c r="B50" s="31">
        <v>34.630000000000003</v>
      </c>
      <c r="C50" s="32">
        <f t="shared" si="8"/>
        <v>116384.6</v>
      </c>
      <c r="D50" s="218">
        <v>4030398.6979999999</v>
      </c>
      <c r="E50" s="33">
        <f t="shared" si="9"/>
        <v>117534.6</v>
      </c>
      <c r="F50" s="13">
        <v>4070223.1979999999</v>
      </c>
      <c r="G50" s="224" t="s">
        <v>50</v>
      </c>
    </row>
    <row r="51" spans="1:9">
      <c r="A51" s="15" t="s">
        <v>105</v>
      </c>
      <c r="B51" s="16">
        <v>38.25</v>
      </c>
      <c r="C51" s="17">
        <f t="shared" si="8"/>
        <v>112125</v>
      </c>
      <c r="D51" s="218">
        <v>4288781.25</v>
      </c>
      <c r="E51" s="18">
        <f t="shared" si="9"/>
        <v>113275</v>
      </c>
      <c r="F51" s="13">
        <v>4332768.75</v>
      </c>
      <c r="G51" s="224" t="s">
        <v>50</v>
      </c>
    </row>
    <row r="52" spans="1:9">
      <c r="A52" s="34" t="s">
        <v>104</v>
      </c>
      <c r="B52" s="16">
        <v>39</v>
      </c>
      <c r="C52" s="17">
        <f t="shared" si="8"/>
        <v>111865.1</v>
      </c>
      <c r="D52" s="218">
        <v>4362738.9000000004</v>
      </c>
      <c r="E52" s="17">
        <f t="shared" si="9"/>
        <v>113015.1</v>
      </c>
      <c r="F52" s="13">
        <v>4407588.9000000004</v>
      </c>
      <c r="G52" s="224" t="s">
        <v>50</v>
      </c>
    </row>
    <row r="53" spans="1:9">
      <c r="A53" s="30" t="s">
        <v>106</v>
      </c>
      <c r="B53" s="31">
        <v>40.89</v>
      </c>
      <c r="C53" s="32">
        <f t="shared" si="8"/>
        <v>108100</v>
      </c>
      <c r="D53" s="220">
        <v>4420209</v>
      </c>
      <c r="E53" s="33">
        <f t="shared" si="9"/>
        <v>109250</v>
      </c>
      <c r="F53" s="35">
        <v>4467232.5</v>
      </c>
      <c r="G53" s="225" t="s">
        <v>50</v>
      </c>
    </row>
    <row r="54" spans="1:9">
      <c r="A54" s="15" t="s">
        <v>106</v>
      </c>
      <c r="B54" s="16">
        <v>43.2</v>
      </c>
      <c r="C54" s="17">
        <f t="shared" si="8"/>
        <v>105800</v>
      </c>
      <c r="D54" s="218">
        <v>4570560</v>
      </c>
      <c r="E54" s="18">
        <f t="shared" si="9"/>
        <v>106950</v>
      </c>
      <c r="F54" s="13">
        <v>4620240</v>
      </c>
      <c r="G54" s="224" t="s">
        <v>50</v>
      </c>
    </row>
    <row r="55" spans="1:9">
      <c r="A55" s="15" t="s">
        <v>106</v>
      </c>
      <c r="B55" s="16">
        <v>45.32</v>
      </c>
      <c r="C55" s="17">
        <f t="shared" si="8"/>
        <v>104650</v>
      </c>
      <c r="D55" s="218">
        <v>4742738</v>
      </c>
      <c r="E55" s="18">
        <f t="shared" si="9"/>
        <v>105800</v>
      </c>
      <c r="F55" s="13">
        <v>4794856</v>
      </c>
      <c r="G55" s="224" t="s">
        <v>50</v>
      </c>
    </row>
    <row r="56" spans="1:9">
      <c r="A56" s="15" t="s">
        <v>106</v>
      </c>
      <c r="B56" s="16">
        <v>48.45</v>
      </c>
      <c r="C56" s="17">
        <f t="shared" si="8"/>
        <v>100956.2</v>
      </c>
      <c r="D56" s="218">
        <v>4891327.8899999997</v>
      </c>
      <c r="E56" s="18">
        <f t="shared" si="9"/>
        <v>102106.2</v>
      </c>
      <c r="F56" s="13">
        <v>4947045.3899999997</v>
      </c>
      <c r="G56" s="224" t="s">
        <v>50</v>
      </c>
    </row>
    <row r="57" spans="1:9">
      <c r="A57" s="20" t="s">
        <v>106</v>
      </c>
      <c r="B57" s="21">
        <v>55.52</v>
      </c>
      <c r="C57" s="22">
        <f t="shared" si="8"/>
        <v>94475.95</v>
      </c>
      <c r="D57" s="219">
        <v>5245304.7439999999</v>
      </c>
      <c r="E57" s="24">
        <f t="shared" si="9"/>
        <v>95625.95</v>
      </c>
      <c r="F57" s="23">
        <v>5309152.7439999999</v>
      </c>
      <c r="G57" s="226" t="s">
        <v>50</v>
      </c>
    </row>
    <row r="58" spans="1:9">
      <c r="A58" s="26" t="s">
        <v>107</v>
      </c>
      <c r="B58" s="27">
        <v>17</v>
      </c>
      <c r="C58" s="28">
        <f t="shared" si="8"/>
        <v>145015</v>
      </c>
      <c r="D58" s="221">
        <f>2143700*1.15</f>
        <v>2465255</v>
      </c>
      <c r="E58" s="28">
        <f t="shared" si="9"/>
        <v>146165</v>
      </c>
      <c r="F58" s="28">
        <f>2160700*1.15</f>
        <v>2484805</v>
      </c>
      <c r="G58" s="223" t="s">
        <v>50</v>
      </c>
      <c r="I58" s="44"/>
    </row>
    <row r="59" spans="1:9">
      <c r="A59" s="37" t="s">
        <v>107</v>
      </c>
      <c r="B59" s="11">
        <v>17.3</v>
      </c>
      <c r="C59" s="12">
        <f t="shared" si="8"/>
        <v>145015</v>
      </c>
      <c r="D59" s="217">
        <f>2181530*1.15</f>
        <v>2508759.5</v>
      </c>
      <c r="E59" s="12">
        <f t="shared" si="9"/>
        <v>146165</v>
      </c>
      <c r="F59" s="12">
        <f>2198830*1.15</f>
        <v>2528654.5</v>
      </c>
      <c r="G59" s="222" t="s">
        <v>50</v>
      </c>
      <c r="I59" s="44"/>
    </row>
    <row r="60" spans="1:9">
      <c r="A60" s="38" t="s">
        <v>107</v>
      </c>
      <c r="B60" s="11">
        <v>20</v>
      </c>
      <c r="C60" s="12">
        <f t="shared" ref="C60:C64" si="10">D60/B60</f>
        <v>139265</v>
      </c>
      <c r="D60" s="217">
        <f>2422000*1.15</f>
        <v>2785300</v>
      </c>
      <c r="E60" s="12">
        <f t="shared" ref="E60:E64" si="11">F60/B60</f>
        <v>140415</v>
      </c>
      <c r="F60" s="12">
        <f>2442000*1.15</f>
        <v>2808300</v>
      </c>
      <c r="G60" s="222" t="s">
        <v>50</v>
      </c>
      <c r="I60" s="44"/>
    </row>
    <row r="61" spans="1:9">
      <c r="A61" s="37" t="s">
        <v>107</v>
      </c>
      <c r="B61" s="11">
        <v>20.3</v>
      </c>
      <c r="C61" s="12">
        <f t="shared" si="10"/>
        <v>139265</v>
      </c>
      <c r="D61" s="217">
        <f>2458330*1.15</f>
        <v>2827079.5</v>
      </c>
      <c r="E61" s="12">
        <f t="shared" si="11"/>
        <v>140415</v>
      </c>
      <c r="F61" s="12">
        <f>2478630*1.15</f>
        <v>2850424.5</v>
      </c>
      <c r="G61" s="222" t="s">
        <v>50</v>
      </c>
      <c r="I61" s="44"/>
    </row>
    <row r="62" spans="1:9">
      <c r="A62" s="15" t="s">
        <v>108</v>
      </c>
      <c r="B62" s="16">
        <v>42.1</v>
      </c>
      <c r="C62" s="18">
        <f t="shared" si="10"/>
        <v>106950</v>
      </c>
      <c r="D62" s="227">
        <f>3915300*1.15</f>
        <v>4502595</v>
      </c>
      <c r="E62" s="18">
        <f t="shared" si="11"/>
        <v>108100</v>
      </c>
      <c r="F62" s="13">
        <f>3957400*1.15</f>
        <v>4551010</v>
      </c>
      <c r="G62" s="224" t="s">
        <v>50</v>
      </c>
      <c r="I62" s="44"/>
    </row>
    <row r="63" spans="1:9">
      <c r="A63" s="30" t="s">
        <v>109</v>
      </c>
      <c r="B63" s="16">
        <v>46.7</v>
      </c>
      <c r="C63" s="18">
        <f t="shared" si="10"/>
        <v>105800</v>
      </c>
      <c r="D63" s="227">
        <f>4296400*1.15</f>
        <v>4940860</v>
      </c>
      <c r="E63" s="18">
        <f t="shared" si="11"/>
        <v>106950</v>
      </c>
      <c r="F63" s="13">
        <f>4343100*1.15</f>
        <v>4994565</v>
      </c>
      <c r="G63" s="224" t="s">
        <v>50</v>
      </c>
      <c r="I63" s="44"/>
    </row>
    <row r="64" spans="1:9">
      <c r="A64" s="20" t="s">
        <v>109</v>
      </c>
      <c r="B64" s="21">
        <v>57.1</v>
      </c>
      <c r="C64" s="18">
        <f t="shared" si="10"/>
        <v>95625.95</v>
      </c>
      <c r="D64" s="228">
        <f>4748036.3*1.15</f>
        <v>5460241.7450000001</v>
      </c>
      <c r="E64" s="18">
        <f t="shared" si="11"/>
        <v>96775.95</v>
      </c>
      <c r="F64" s="23">
        <f>4805136.3*1.15</f>
        <v>5525906.7450000001</v>
      </c>
      <c r="G64" s="226" t="s">
        <v>50</v>
      </c>
      <c r="I64" s="44"/>
    </row>
    <row r="65" spans="1:10">
      <c r="A65" s="26" t="s">
        <v>110</v>
      </c>
      <c r="B65" s="27">
        <v>17</v>
      </c>
      <c r="C65" s="28">
        <f t="shared" si="8"/>
        <v>143865</v>
      </c>
      <c r="D65" s="221">
        <v>2445705</v>
      </c>
      <c r="E65" s="28">
        <f t="shared" si="9"/>
        <v>145015</v>
      </c>
      <c r="F65" s="28">
        <v>2465255</v>
      </c>
      <c r="G65" s="29" t="s">
        <v>11</v>
      </c>
    </row>
    <row r="66" spans="1:10">
      <c r="A66" s="37" t="s">
        <v>110</v>
      </c>
      <c r="B66" s="11">
        <v>17.3</v>
      </c>
      <c r="C66" s="12">
        <f t="shared" si="8"/>
        <v>143865</v>
      </c>
      <c r="D66" s="217">
        <v>2488864.5</v>
      </c>
      <c r="E66" s="12">
        <f t="shared" si="9"/>
        <v>145015</v>
      </c>
      <c r="F66" s="12">
        <v>2508759.5</v>
      </c>
      <c r="G66" s="14" t="s">
        <v>11</v>
      </c>
    </row>
    <row r="67" spans="1:10">
      <c r="A67" s="38" t="s">
        <v>110</v>
      </c>
      <c r="B67" s="11">
        <v>20</v>
      </c>
      <c r="C67" s="12">
        <f t="shared" si="8"/>
        <v>138115</v>
      </c>
      <c r="D67" s="217">
        <v>2762300</v>
      </c>
      <c r="E67" s="12">
        <f t="shared" si="9"/>
        <v>139265</v>
      </c>
      <c r="F67" s="12">
        <v>2785300</v>
      </c>
      <c r="G67" s="14" t="s">
        <v>11</v>
      </c>
    </row>
    <row r="68" spans="1:10">
      <c r="A68" s="37" t="s">
        <v>110</v>
      </c>
      <c r="B68" s="11">
        <v>20.3</v>
      </c>
      <c r="C68" s="12">
        <f t="shared" si="8"/>
        <v>138115</v>
      </c>
      <c r="D68" s="217">
        <v>2803734.5</v>
      </c>
      <c r="E68" s="12">
        <f t="shared" si="9"/>
        <v>139265</v>
      </c>
      <c r="F68" s="12">
        <v>2827079.5</v>
      </c>
      <c r="G68" s="14" t="s">
        <v>11</v>
      </c>
    </row>
    <row r="69" spans="1:10">
      <c r="A69" s="15" t="s">
        <v>111</v>
      </c>
      <c r="B69" s="16">
        <v>42.1</v>
      </c>
      <c r="C69" s="17">
        <f t="shared" si="8"/>
        <v>105800</v>
      </c>
      <c r="D69" s="218">
        <v>4454180</v>
      </c>
      <c r="E69" s="18">
        <f t="shared" si="9"/>
        <v>106950</v>
      </c>
      <c r="F69" s="13">
        <v>4502595</v>
      </c>
      <c r="G69" s="19" t="s">
        <v>11</v>
      </c>
    </row>
    <row r="70" spans="1:10">
      <c r="A70" s="30" t="s">
        <v>112</v>
      </c>
      <c r="B70" s="16">
        <v>46.7</v>
      </c>
      <c r="C70" s="17">
        <f t="shared" si="8"/>
        <v>104650</v>
      </c>
      <c r="D70" s="218">
        <v>4887155</v>
      </c>
      <c r="E70" s="18">
        <f t="shared" si="9"/>
        <v>105800</v>
      </c>
      <c r="F70" s="13">
        <v>4940860</v>
      </c>
      <c r="G70" s="19" t="s">
        <v>11</v>
      </c>
    </row>
    <row r="71" spans="1:10">
      <c r="A71" s="20" t="s">
        <v>112</v>
      </c>
      <c r="B71" s="21">
        <v>57.1</v>
      </c>
      <c r="C71" s="22">
        <f t="shared" si="8"/>
        <v>94475.95</v>
      </c>
      <c r="D71" s="219">
        <v>5394576.7450000001</v>
      </c>
      <c r="E71" s="24">
        <f t="shared" si="9"/>
        <v>95625.95</v>
      </c>
      <c r="F71" s="23">
        <v>5460241.7450000001</v>
      </c>
      <c r="G71" s="25" t="s">
        <v>11</v>
      </c>
    </row>
    <row r="72" spans="1:10">
      <c r="A72" s="39"/>
      <c r="B72" s="40"/>
      <c r="C72" s="41"/>
      <c r="D72" s="42"/>
      <c r="E72" s="43"/>
      <c r="F72" s="42"/>
      <c r="G72" s="39"/>
    </row>
    <row r="73" spans="1:10" s="1" customFormat="1" ht="27.75" customHeight="1">
      <c r="A73" s="239" t="s">
        <v>130</v>
      </c>
      <c r="E73" s="4"/>
      <c r="G73" s="4"/>
      <c r="H73" s="4"/>
      <c r="I73" s="4"/>
      <c r="J73" s="4"/>
    </row>
    <row r="74" spans="1:10" ht="45">
      <c r="A74" s="5" t="s">
        <v>41</v>
      </c>
      <c r="B74" s="6" t="s">
        <v>95</v>
      </c>
      <c r="C74" s="7" t="s">
        <v>96</v>
      </c>
      <c r="D74" s="8" t="s">
        <v>97</v>
      </c>
      <c r="E74" s="7" t="s">
        <v>98</v>
      </c>
      <c r="F74" s="7" t="s">
        <v>97</v>
      </c>
      <c r="G74" s="9" t="s">
        <v>99</v>
      </c>
      <c r="I74" s="45"/>
    </row>
    <row r="75" spans="1:10">
      <c r="A75" s="10" t="s">
        <v>100</v>
      </c>
      <c r="B75" s="11">
        <v>20.67</v>
      </c>
      <c r="C75" s="12">
        <f>D75/B75</f>
        <v>139800</v>
      </c>
      <c r="D75" s="217">
        <f>D3*1.2</f>
        <v>2889666</v>
      </c>
      <c r="E75" s="13"/>
      <c r="F75" s="13"/>
      <c r="G75" s="14" t="s">
        <v>11</v>
      </c>
      <c r="I75" s="44"/>
    </row>
    <row r="76" spans="1:10" ht="15.75" thickBot="1">
      <c r="A76" s="229" t="s">
        <v>113</v>
      </c>
      <c r="B76" s="230">
        <v>52.97</v>
      </c>
      <c r="C76" s="231">
        <f>D76/B76</f>
        <v>98583.6</v>
      </c>
      <c r="D76" s="232">
        <f>4351644.41*1.2</f>
        <v>5221973.2920000004</v>
      </c>
      <c r="E76" s="23"/>
      <c r="F76" s="23"/>
      <c r="G76" s="233" t="s">
        <v>11</v>
      </c>
      <c r="I76" s="44"/>
    </row>
    <row r="77" spans="1:10">
      <c r="A77" s="234" t="s">
        <v>114</v>
      </c>
      <c r="B77" s="27">
        <v>38.25</v>
      </c>
      <c r="C77" s="28">
        <f>D77/B77</f>
        <v>117000</v>
      </c>
      <c r="D77" s="221">
        <f>3729375*1.2</f>
        <v>4475250</v>
      </c>
      <c r="E77" s="141"/>
      <c r="F77" s="141"/>
      <c r="G77" s="223" t="s">
        <v>11</v>
      </c>
      <c r="I77" s="44"/>
    </row>
    <row r="78" spans="1:10" ht="15.75" thickBot="1">
      <c r="A78" s="229" t="s">
        <v>114</v>
      </c>
      <c r="B78" s="230">
        <v>40.89</v>
      </c>
      <c r="C78" s="231">
        <f>D78/B78</f>
        <v>112800</v>
      </c>
      <c r="D78" s="232">
        <f>3843660*1.2</f>
        <v>4612392</v>
      </c>
      <c r="E78" s="23"/>
      <c r="F78" s="23"/>
      <c r="G78" s="235" t="s">
        <v>11</v>
      </c>
      <c r="I78" s="44"/>
    </row>
    <row r="79" spans="1:10">
      <c r="A79" s="30" t="s">
        <v>101</v>
      </c>
      <c r="B79" s="31">
        <v>38.25</v>
      </c>
      <c r="C79" s="32">
        <f>D79/B79</f>
        <v>117000</v>
      </c>
      <c r="D79" s="220">
        <v>4475250</v>
      </c>
      <c r="E79" s="33">
        <f>F79/B79</f>
        <v>118200</v>
      </c>
      <c r="F79" s="35">
        <v>4521150</v>
      </c>
      <c r="G79" s="36" t="s">
        <v>50</v>
      </c>
      <c r="I79" s="45"/>
      <c r="J79" s="45"/>
    </row>
    <row r="80" spans="1:10">
      <c r="A80" s="15" t="s">
        <v>102</v>
      </c>
      <c r="B80" s="16">
        <v>43.2</v>
      </c>
      <c r="C80" s="17">
        <f t="shared" ref="C80:C107" si="12">D80/B80</f>
        <v>110400</v>
      </c>
      <c r="D80" s="218">
        <v>4769280</v>
      </c>
      <c r="E80" s="18">
        <f t="shared" ref="E80:E107" si="13">F80/B80</f>
        <v>111600</v>
      </c>
      <c r="F80" s="13">
        <v>4821120</v>
      </c>
      <c r="G80" s="19" t="s">
        <v>50</v>
      </c>
    </row>
    <row r="81" spans="1:9">
      <c r="A81" s="15" t="s">
        <v>102</v>
      </c>
      <c r="B81" s="16">
        <v>45.32</v>
      </c>
      <c r="C81" s="17">
        <f t="shared" si="12"/>
        <v>109200</v>
      </c>
      <c r="D81" s="218">
        <v>4948944</v>
      </c>
      <c r="E81" s="18">
        <f t="shared" si="13"/>
        <v>110400</v>
      </c>
      <c r="F81" s="13">
        <v>5003328</v>
      </c>
      <c r="G81" s="19" t="s">
        <v>50</v>
      </c>
    </row>
    <row r="82" spans="1:9">
      <c r="A82" s="15" t="s">
        <v>102</v>
      </c>
      <c r="B82" s="16">
        <v>48.45</v>
      </c>
      <c r="C82" s="17">
        <f t="shared" si="12"/>
        <v>105345.60000000001</v>
      </c>
      <c r="D82" s="218">
        <v>5103994.32</v>
      </c>
      <c r="E82" s="18">
        <f t="shared" si="13"/>
        <v>106545.60000000001</v>
      </c>
      <c r="F82" s="13">
        <v>5162134.32</v>
      </c>
      <c r="G82" s="19" t="s">
        <v>50</v>
      </c>
    </row>
    <row r="83" spans="1:9">
      <c r="A83" s="20" t="s">
        <v>102</v>
      </c>
      <c r="B83" s="21">
        <v>55.52</v>
      </c>
      <c r="C83" s="22">
        <f t="shared" si="12"/>
        <v>98583.6</v>
      </c>
      <c r="D83" s="219">
        <v>5473361.4720000001</v>
      </c>
      <c r="E83" s="24">
        <f t="shared" si="13"/>
        <v>99783.6</v>
      </c>
      <c r="F83" s="23">
        <v>5539985.4720000001</v>
      </c>
      <c r="G83" s="25" t="s">
        <v>50</v>
      </c>
    </row>
    <row r="84" spans="1:9">
      <c r="A84" s="26" t="s">
        <v>103</v>
      </c>
      <c r="B84" s="27">
        <v>18.95</v>
      </c>
      <c r="C84" s="28">
        <f t="shared" si="12"/>
        <v>143400</v>
      </c>
      <c r="D84" s="217">
        <v>2717430</v>
      </c>
      <c r="E84" s="28">
        <f t="shared" si="13"/>
        <v>144600</v>
      </c>
      <c r="F84" s="28">
        <v>2740170</v>
      </c>
      <c r="G84" s="223" t="s">
        <v>50</v>
      </c>
    </row>
    <row r="85" spans="1:9">
      <c r="A85" s="10" t="s">
        <v>103</v>
      </c>
      <c r="B85" s="11">
        <v>20.67</v>
      </c>
      <c r="C85" s="12">
        <f t="shared" si="12"/>
        <v>139800</v>
      </c>
      <c r="D85" s="217">
        <v>2889666</v>
      </c>
      <c r="E85" s="12">
        <f t="shared" si="13"/>
        <v>141000</v>
      </c>
      <c r="F85" s="12">
        <v>2914470</v>
      </c>
      <c r="G85" s="222" t="s">
        <v>50</v>
      </c>
    </row>
    <row r="86" spans="1:9">
      <c r="A86" s="30" t="s">
        <v>104</v>
      </c>
      <c r="B86" s="31">
        <v>34.630000000000003</v>
      </c>
      <c r="C86" s="32">
        <f t="shared" si="12"/>
        <v>121444.8</v>
      </c>
      <c r="D86" s="218">
        <v>4205633.4239999996</v>
      </c>
      <c r="E86" s="33">
        <f t="shared" si="13"/>
        <v>122644.8</v>
      </c>
      <c r="F86" s="13">
        <v>4247189.4239999996</v>
      </c>
      <c r="G86" s="224" t="s">
        <v>50</v>
      </c>
    </row>
    <row r="87" spans="1:9">
      <c r="A87" s="15" t="s">
        <v>105</v>
      </c>
      <c r="B87" s="16">
        <v>38.25</v>
      </c>
      <c r="C87" s="17">
        <f t="shared" si="12"/>
        <v>117000</v>
      </c>
      <c r="D87" s="218">
        <v>4475250</v>
      </c>
      <c r="E87" s="18">
        <f t="shared" si="13"/>
        <v>118200</v>
      </c>
      <c r="F87" s="13">
        <v>4521150</v>
      </c>
      <c r="G87" s="224" t="s">
        <v>50</v>
      </c>
    </row>
    <row r="88" spans="1:9">
      <c r="A88" s="34" t="s">
        <v>104</v>
      </c>
      <c r="B88" s="16">
        <v>39</v>
      </c>
      <c r="C88" s="17">
        <f t="shared" si="12"/>
        <v>116728.8</v>
      </c>
      <c r="D88" s="218">
        <v>4552423.2</v>
      </c>
      <c r="E88" s="17">
        <f t="shared" si="13"/>
        <v>117928.8</v>
      </c>
      <c r="F88" s="13">
        <v>4599223.2</v>
      </c>
      <c r="G88" s="224" t="s">
        <v>50</v>
      </c>
    </row>
    <row r="89" spans="1:9">
      <c r="A89" s="30" t="s">
        <v>106</v>
      </c>
      <c r="B89" s="31">
        <v>40.89</v>
      </c>
      <c r="C89" s="32">
        <f t="shared" si="12"/>
        <v>112800</v>
      </c>
      <c r="D89" s="220">
        <v>4612392</v>
      </c>
      <c r="E89" s="33">
        <f t="shared" si="13"/>
        <v>114000</v>
      </c>
      <c r="F89" s="35">
        <v>4661460</v>
      </c>
      <c r="G89" s="225" t="s">
        <v>50</v>
      </c>
    </row>
    <row r="90" spans="1:9">
      <c r="A90" s="15" t="s">
        <v>106</v>
      </c>
      <c r="B90" s="16">
        <v>43.2</v>
      </c>
      <c r="C90" s="17">
        <f t="shared" si="12"/>
        <v>110400</v>
      </c>
      <c r="D90" s="218">
        <v>4769280</v>
      </c>
      <c r="E90" s="18">
        <f t="shared" si="13"/>
        <v>111600</v>
      </c>
      <c r="F90" s="13">
        <v>4821120</v>
      </c>
      <c r="G90" s="224" t="s">
        <v>50</v>
      </c>
    </row>
    <row r="91" spans="1:9">
      <c r="A91" s="15" t="s">
        <v>106</v>
      </c>
      <c r="B91" s="16">
        <v>45.32</v>
      </c>
      <c r="C91" s="17">
        <f t="shared" si="12"/>
        <v>109200</v>
      </c>
      <c r="D91" s="218">
        <v>4948944</v>
      </c>
      <c r="E91" s="18">
        <f t="shared" si="13"/>
        <v>110400</v>
      </c>
      <c r="F91" s="13">
        <v>5003328</v>
      </c>
      <c r="G91" s="224" t="s">
        <v>50</v>
      </c>
    </row>
    <row r="92" spans="1:9">
      <c r="A92" s="15" t="s">
        <v>106</v>
      </c>
      <c r="B92" s="16">
        <v>48.45</v>
      </c>
      <c r="C92" s="17">
        <f t="shared" si="12"/>
        <v>105345.60000000001</v>
      </c>
      <c r="D92" s="218">
        <v>5103994.32</v>
      </c>
      <c r="E92" s="18">
        <f t="shared" si="13"/>
        <v>106545.60000000001</v>
      </c>
      <c r="F92" s="13">
        <v>5162134.32</v>
      </c>
      <c r="G92" s="224" t="s">
        <v>50</v>
      </c>
    </row>
    <row r="93" spans="1:9">
      <c r="A93" s="20" t="s">
        <v>106</v>
      </c>
      <c r="B93" s="21">
        <v>55.52</v>
      </c>
      <c r="C93" s="22">
        <f t="shared" si="12"/>
        <v>98583.6</v>
      </c>
      <c r="D93" s="219">
        <v>5473361.4720000001</v>
      </c>
      <c r="E93" s="24">
        <f t="shared" si="13"/>
        <v>99783.6</v>
      </c>
      <c r="F93" s="23">
        <v>5539985.4720000001</v>
      </c>
      <c r="G93" s="226" t="s">
        <v>50</v>
      </c>
    </row>
    <row r="94" spans="1:9">
      <c r="A94" s="26" t="s">
        <v>107</v>
      </c>
      <c r="B94" s="27">
        <v>17</v>
      </c>
      <c r="C94" s="28">
        <f t="shared" ref="C94:C100" si="14">D94/B94</f>
        <v>151320</v>
      </c>
      <c r="D94" s="221">
        <f>2143700*1.2</f>
        <v>2572440</v>
      </c>
      <c r="E94" s="28">
        <f t="shared" ref="E94:E100" si="15">F94/B94</f>
        <v>152520</v>
      </c>
      <c r="F94" s="28">
        <f>2160700*1.2</f>
        <v>2592840</v>
      </c>
      <c r="G94" s="223" t="s">
        <v>50</v>
      </c>
      <c r="I94" s="44"/>
    </row>
    <row r="95" spans="1:9">
      <c r="A95" s="37" t="s">
        <v>107</v>
      </c>
      <c r="B95" s="11">
        <v>17.3</v>
      </c>
      <c r="C95" s="12">
        <f t="shared" si="14"/>
        <v>151320</v>
      </c>
      <c r="D95" s="217">
        <f>2181530*1.2</f>
        <v>2617836</v>
      </c>
      <c r="E95" s="12">
        <f t="shared" si="15"/>
        <v>152520</v>
      </c>
      <c r="F95" s="12">
        <f>2198830*1.2</f>
        <v>2638596</v>
      </c>
      <c r="G95" s="222" t="s">
        <v>50</v>
      </c>
      <c r="I95" s="44"/>
    </row>
    <row r="96" spans="1:9">
      <c r="A96" s="38" t="s">
        <v>107</v>
      </c>
      <c r="B96" s="11">
        <v>20</v>
      </c>
      <c r="C96" s="12">
        <f t="shared" si="14"/>
        <v>145320</v>
      </c>
      <c r="D96" s="217">
        <f>2422000*1.2</f>
        <v>2906400</v>
      </c>
      <c r="E96" s="12">
        <f t="shared" si="15"/>
        <v>146520</v>
      </c>
      <c r="F96" s="12">
        <f>2442000*1.2</f>
        <v>2930400</v>
      </c>
      <c r="G96" s="222" t="s">
        <v>50</v>
      </c>
      <c r="I96" s="44"/>
    </row>
    <row r="97" spans="1:9">
      <c r="A97" s="37" t="s">
        <v>107</v>
      </c>
      <c r="B97" s="11">
        <v>20.3</v>
      </c>
      <c r="C97" s="12">
        <f t="shared" si="14"/>
        <v>145320</v>
      </c>
      <c r="D97" s="217">
        <f>2458330*1.2</f>
        <v>2949996</v>
      </c>
      <c r="E97" s="12">
        <f t="shared" si="15"/>
        <v>146520</v>
      </c>
      <c r="F97" s="12">
        <f>2478630*1.2</f>
        <v>2974356</v>
      </c>
      <c r="G97" s="222" t="s">
        <v>50</v>
      </c>
      <c r="I97" s="44"/>
    </row>
    <row r="98" spans="1:9">
      <c r="A98" s="15" t="s">
        <v>108</v>
      </c>
      <c r="B98" s="16">
        <v>42.1</v>
      </c>
      <c r="C98" s="17">
        <f t="shared" si="14"/>
        <v>111600</v>
      </c>
      <c r="D98" s="218">
        <f>3915300*1.2</f>
        <v>4698360</v>
      </c>
      <c r="E98" s="18">
        <f t="shared" si="15"/>
        <v>112800</v>
      </c>
      <c r="F98" s="13">
        <f>3957400*1.2</f>
        <v>4748880</v>
      </c>
      <c r="G98" s="224" t="s">
        <v>50</v>
      </c>
      <c r="I98" s="44"/>
    </row>
    <row r="99" spans="1:9">
      <c r="A99" s="30" t="s">
        <v>109</v>
      </c>
      <c r="B99" s="16">
        <v>46.7</v>
      </c>
      <c r="C99" s="17">
        <f t="shared" si="14"/>
        <v>110400</v>
      </c>
      <c r="D99" s="218">
        <f>4296400*1.2</f>
        <v>5155680</v>
      </c>
      <c r="E99" s="18">
        <f t="shared" si="15"/>
        <v>111600</v>
      </c>
      <c r="F99" s="13">
        <f>4343100*1.2</f>
        <v>5211720</v>
      </c>
      <c r="G99" s="224" t="s">
        <v>50</v>
      </c>
      <c r="I99" s="44"/>
    </row>
    <row r="100" spans="1:9">
      <c r="A100" s="20" t="s">
        <v>109</v>
      </c>
      <c r="B100" s="21">
        <v>57.1</v>
      </c>
      <c r="C100" s="22">
        <f t="shared" si="14"/>
        <v>99783.6</v>
      </c>
      <c r="D100" s="219">
        <f>4748036.3*1.2</f>
        <v>5697643.5599999996</v>
      </c>
      <c r="E100" s="24">
        <f t="shared" si="15"/>
        <v>100983.6</v>
      </c>
      <c r="F100" s="23">
        <f>4805136.3*1.2</f>
        <v>5766163.5599999996</v>
      </c>
      <c r="G100" s="226" t="s">
        <v>50</v>
      </c>
      <c r="I100" s="44"/>
    </row>
    <row r="101" spans="1:9">
      <c r="A101" s="26" t="s">
        <v>110</v>
      </c>
      <c r="B101" s="27">
        <v>17</v>
      </c>
      <c r="C101" s="28">
        <f t="shared" si="12"/>
        <v>150120</v>
      </c>
      <c r="D101" s="221">
        <v>2552040</v>
      </c>
      <c r="E101" s="28">
        <f t="shared" si="13"/>
        <v>151320</v>
      </c>
      <c r="F101" s="28">
        <v>2572440</v>
      </c>
      <c r="G101" s="29" t="s">
        <v>11</v>
      </c>
    </row>
    <row r="102" spans="1:9">
      <c r="A102" s="37" t="s">
        <v>110</v>
      </c>
      <c r="B102" s="11">
        <v>17.3</v>
      </c>
      <c r="C102" s="12">
        <f t="shared" si="12"/>
        <v>150120</v>
      </c>
      <c r="D102" s="217">
        <v>2597076</v>
      </c>
      <c r="E102" s="12">
        <f t="shared" si="13"/>
        <v>151320</v>
      </c>
      <c r="F102" s="12">
        <v>2617836</v>
      </c>
      <c r="G102" s="14" t="s">
        <v>11</v>
      </c>
    </row>
    <row r="103" spans="1:9">
      <c r="A103" s="38" t="s">
        <v>110</v>
      </c>
      <c r="B103" s="11">
        <v>20</v>
      </c>
      <c r="C103" s="12">
        <f t="shared" si="12"/>
        <v>144120</v>
      </c>
      <c r="D103" s="217">
        <v>2882400</v>
      </c>
      <c r="E103" s="12">
        <f t="shared" si="13"/>
        <v>145320</v>
      </c>
      <c r="F103" s="12">
        <v>2906400</v>
      </c>
      <c r="G103" s="14" t="s">
        <v>11</v>
      </c>
    </row>
    <row r="104" spans="1:9">
      <c r="A104" s="37" t="s">
        <v>110</v>
      </c>
      <c r="B104" s="11">
        <v>20.3</v>
      </c>
      <c r="C104" s="12">
        <f t="shared" si="12"/>
        <v>144120</v>
      </c>
      <c r="D104" s="217">
        <v>2925636</v>
      </c>
      <c r="E104" s="12">
        <f t="shared" si="13"/>
        <v>145320</v>
      </c>
      <c r="F104" s="12">
        <v>2949996</v>
      </c>
      <c r="G104" s="14" t="s">
        <v>11</v>
      </c>
    </row>
    <row r="105" spans="1:9">
      <c r="A105" s="15" t="s">
        <v>111</v>
      </c>
      <c r="B105" s="16">
        <v>42.1</v>
      </c>
      <c r="C105" s="17">
        <f t="shared" si="12"/>
        <v>110400</v>
      </c>
      <c r="D105" s="218">
        <v>4647840</v>
      </c>
      <c r="E105" s="18">
        <f t="shared" si="13"/>
        <v>111600</v>
      </c>
      <c r="F105" s="13">
        <v>4698360</v>
      </c>
      <c r="G105" s="19" t="s">
        <v>11</v>
      </c>
    </row>
    <row r="106" spans="1:9">
      <c r="A106" s="30" t="s">
        <v>112</v>
      </c>
      <c r="B106" s="16">
        <v>46.7</v>
      </c>
      <c r="C106" s="17">
        <f t="shared" si="12"/>
        <v>109200</v>
      </c>
      <c r="D106" s="218">
        <v>5099640</v>
      </c>
      <c r="E106" s="18">
        <f t="shared" si="13"/>
        <v>110400</v>
      </c>
      <c r="F106" s="13">
        <v>5155680</v>
      </c>
      <c r="G106" s="19" t="s">
        <v>11</v>
      </c>
    </row>
    <row r="107" spans="1:9">
      <c r="A107" s="20" t="s">
        <v>112</v>
      </c>
      <c r="B107" s="21">
        <v>57.1</v>
      </c>
      <c r="C107" s="22">
        <f t="shared" si="12"/>
        <v>98583.6</v>
      </c>
      <c r="D107" s="219">
        <v>5629123.5599999996</v>
      </c>
      <c r="E107" s="24">
        <f t="shared" si="13"/>
        <v>99783.6</v>
      </c>
      <c r="F107" s="23">
        <v>5697643.5599999996</v>
      </c>
      <c r="G107" s="25" t="s">
        <v>11</v>
      </c>
    </row>
    <row r="109" spans="1:9" ht="18.75">
      <c r="A109" s="239" t="s">
        <v>131</v>
      </c>
      <c r="B109" s="1"/>
      <c r="C109" s="1"/>
      <c r="D109" s="1"/>
      <c r="E109" s="4"/>
      <c r="F109" s="1"/>
      <c r="G109" s="4"/>
    </row>
    <row r="110" spans="1:9" ht="45">
      <c r="A110" s="5" t="s">
        <v>41</v>
      </c>
      <c r="B110" s="6" t="s">
        <v>95</v>
      </c>
      <c r="C110" s="7" t="s">
        <v>96</v>
      </c>
      <c r="D110" s="8" t="s">
        <v>97</v>
      </c>
      <c r="E110" s="7" t="s">
        <v>98</v>
      </c>
      <c r="F110" s="7" t="s">
        <v>97</v>
      </c>
      <c r="G110" s="9" t="s">
        <v>99</v>
      </c>
    </row>
    <row r="111" spans="1:9">
      <c r="A111" s="10" t="s">
        <v>100</v>
      </c>
      <c r="B111" s="11">
        <v>20.67</v>
      </c>
      <c r="C111" s="12">
        <f>D111/B111</f>
        <v>110674.99999999999</v>
      </c>
      <c r="D111" s="217">
        <f>D3*0.95</f>
        <v>2287652.25</v>
      </c>
      <c r="E111" s="13"/>
      <c r="F111" s="13"/>
      <c r="G111" s="14" t="s">
        <v>11</v>
      </c>
      <c r="I111" s="44"/>
    </row>
    <row r="112" spans="1:9" ht="15.75" thickBot="1">
      <c r="A112" s="229" t="s">
        <v>113</v>
      </c>
      <c r="B112" s="230">
        <v>52.97</v>
      </c>
      <c r="C112" s="231">
        <f>D112/B112</f>
        <v>78045.350000000006</v>
      </c>
      <c r="D112" s="232">
        <f>4351644.41*0.95</f>
        <v>4134062.1894999999</v>
      </c>
      <c r="E112" s="23"/>
      <c r="F112" s="23"/>
      <c r="G112" s="233" t="s">
        <v>11</v>
      </c>
      <c r="I112" s="44"/>
    </row>
    <row r="113" spans="1:9">
      <c r="A113" s="234" t="s">
        <v>114</v>
      </c>
      <c r="B113" s="27">
        <v>38.25</v>
      </c>
      <c r="C113" s="28">
        <f>D113/B113</f>
        <v>92625</v>
      </c>
      <c r="D113" s="221">
        <f>3729375*0.95</f>
        <v>3542906.25</v>
      </c>
      <c r="E113" s="141"/>
      <c r="F113" s="141"/>
      <c r="G113" s="223" t="s">
        <v>11</v>
      </c>
      <c r="I113" s="44"/>
    </row>
    <row r="114" spans="1:9" ht="15.75" thickBot="1">
      <c r="A114" s="229" t="s">
        <v>114</v>
      </c>
      <c r="B114" s="230">
        <v>40.89</v>
      </c>
      <c r="C114" s="231">
        <f>D114/B114</f>
        <v>89300</v>
      </c>
      <c r="D114" s="232">
        <f>3843660*0.95</f>
        <v>3651477</v>
      </c>
      <c r="E114" s="23"/>
      <c r="F114" s="23"/>
      <c r="G114" s="235" t="s">
        <v>11</v>
      </c>
      <c r="I114" s="44"/>
    </row>
    <row r="115" spans="1:9">
      <c r="A115" s="30" t="s">
        <v>101</v>
      </c>
      <c r="B115" s="31">
        <v>38.25</v>
      </c>
      <c r="C115" s="32">
        <f>D115/B115</f>
        <v>92625</v>
      </c>
      <c r="D115" s="220">
        <v>3542906.25</v>
      </c>
      <c r="E115" s="33">
        <f>F115/B115</f>
        <v>93575</v>
      </c>
      <c r="F115" s="35">
        <v>3579243.75</v>
      </c>
      <c r="G115" s="36" t="s">
        <v>50</v>
      </c>
    </row>
    <row r="116" spans="1:9">
      <c r="A116" s="15" t="s">
        <v>102</v>
      </c>
      <c r="B116" s="16">
        <v>43.2</v>
      </c>
      <c r="C116" s="17">
        <f t="shared" ref="C116:C143" si="16">D116/B116</f>
        <v>87400</v>
      </c>
      <c r="D116" s="218">
        <v>3775680</v>
      </c>
      <c r="E116" s="18">
        <f t="shared" ref="E116:E143" si="17">F116/B116</f>
        <v>88350</v>
      </c>
      <c r="F116" s="13">
        <v>3816720</v>
      </c>
      <c r="G116" s="19" t="s">
        <v>50</v>
      </c>
    </row>
    <row r="117" spans="1:9">
      <c r="A117" s="15" t="s">
        <v>102</v>
      </c>
      <c r="B117" s="16">
        <v>45.32</v>
      </c>
      <c r="C117" s="17">
        <f t="shared" si="16"/>
        <v>86450</v>
      </c>
      <c r="D117" s="218">
        <v>3917914</v>
      </c>
      <c r="E117" s="18">
        <f t="shared" si="17"/>
        <v>87400</v>
      </c>
      <c r="F117" s="13">
        <v>3960968</v>
      </c>
      <c r="G117" s="19" t="s">
        <v>50</v>
      </c>
    </row>
    <row r="118" spans="1:9">
      <c r="A118" s="15" t="s">
        <v>102</v>
      </c>
      <c r="B118" s="16">
        <v>48.45</v>
      </c>
      <c r="C118" s="17">
        <f t="shared" si="16"/>
        <v>83398.600000000006</v>
      </c>
      <c r="D118" s="218">
        <v>4040662.17</v>
      </c>
      <c r="E118" s="18">
        <f t="shared" si="17"/>
        <v>84348.6</v>
      </c>
      <c r="F118" s="13">
        <v>4086689.67</v>
      </c>
      <c r="G118" s="19" t="s">
        <v>50</v>
      </c>
    </row>
    <row r="119" spans="1:9">
      <c r="A119" s="20" t="s">
        <v>102</v>
      </c>
      <c r="B119" s="21">
        <v>55.52</v>
      </c>
      <c r="C119" s="22">
        <f t="shared" si="16"/>
        <v>78045.350000000006</v>
      </c>
      <c r="D119" s="219">
        <v>4333077.8320000004</v>
      </c>
      <c r="E119" s="24">
        <f t="shared" si="17"/>
        <v>78995.350000000006</v>
      </c>
      <c r="F119" s="23">
        <v>4385821.8320000004</v>
      </c>
      <c r="G119" s="25" t="s">
        <v>50</v>
      </c>
    </row>
    <row r="120" spans="1:9">
      <c r="A120" s="26" t="s">
        <v>103</v>
      </c>
      <c r="B120" s="27">
        <v>18.95</v>
      </c>
      <c r="C120" s="28">
        <f t="shared" si="16"/>
        <v>113525</v>
      </c>
      <c r="D120" s="217">
        <v>2151298.75</v>
      </c>
      <c r="E120" s="28">
        <f t="shared" si="17"/>
        <v>114475</v>
      </c>
      <c r="F120" s="28">
        <v>2169301.25</v>
      </c>
      <c r="G120" s="223" t="s">
        <v>50</v>
      </c>
    </row>
    <row r="121" spans="1:9">
      <c r="A121" s="10" t="s">
        <v>103</v>
      </c>
      <c r="B121" s="11">
        <v>20.67</v>
      </c>
      <c r="C121" s="12">
        <f t="shared" si="16"/>
        <v>110675</v>
      </c>
      <c r="D121" s="217">
        <v>2287652.25</v>
      </c>
      <c r="E121" s="12">
        <f t="shared" si="17"/>
        <v>111625</v>
      </c>
      <c r="F121" s="12">
        <v>2307288.75</v>
      </c>
      <c r="G121" s="222" t="s">
        <v>50</v>
      </c>
    </row>
    <row r="122" spans="1:9">
      <c r="A122" s="30" t="s">
        <v>104</v>
      </c>
      <c r="B122" s="31">
        <v>34.630000000000003</v>
      </c>
      <c r="C122" s="32">
        <f t="shared" si="16"/>
        <v>96143.8</v>
      </c>
      <c r="D122" s="218">
        <v>3329459.7940000002</v>
      </c>
      <c r="E122" s="33">
        <f t="shared" si="17"/>
        <v>97093.8</v>
      </c>
      <c r="F122" s="13">
        <v>3362358.2940000002</v>
      </c>
      <c r="G122" s="224" t="s">
        <v>50</v>
      </c>
    </row>
    <row r="123" spans="1:9">
      <c r="A123" s="15" t="s">
        <v>105</v>
      </c>
      <c r="B123" s="16">
        <v>38.25</v>
      </c>
      <c r="C123" s="17">
        <f t="shared" si="16"/>
        <v>92625</v>
      </c>
      <c r="D123" s="218">
        <v>3542906.25</v>
      </c>
      <c r="E123" s="18">
        <f t="shared" si="17"/>
        <v>93575</v>
      </c>
      <c r="F123" s="13">
        <v>3579243.75</v>
      </c>
      <c r="G123" s="224" t="s">
        <v>50</v>
      </c>
    </row>
    <row r="124" spans="1:9">
      <c r="A124" s="34" t="s">
        <v>104</v>
      </c>
      <c r="B124" s="16">
        <v>39</v>
      </c>
      <c r="C124" s="17">
        <f t="shared" si="16"/>
        <v>92410.3</v>
      </c>
      <c r="D124" s="218">
        <v>3604001.7</v>
      </c>
      <c r="E124" s="17">
        <f t="shared" si="17"/>
        <v>93360.3</v>
      </c>
      <c r="F124" s="13">
        <v>3641051.7</v>
      </c>
      <c r="G124" s="224" t="s">
        <v>50</v>
      </c>
    </row>
    <row r="125" spans="1:9">
      <c r="A125" s="30" t="s">
        <v>106</v>
      </c>
      <c r="B125" s="31">
        <v>40.89</v>
      </c>
      <c r="C125" s="32">
        <f t="shared" si="16"/>
        <v>89300</v>
      </c>
      <c r="D125" s="220">
        <v>3651477</v>
      </c>
      <c r="E125" s="33">
        <f t="shared" si="17"/>
        <v>90250</v>
      </c>
      <c r="F125" s="35">
        <v>3690322.5</v>
      </c>
      <c r="G125" s="225" t="s">
        <v>50</v>
      </c>
    </row>
    <row r="126" spans="1:9">
      <c r="A126" s="15" t="s">
        <v>106</v>
      </c>
      <c r="B126" s="16">
        <v>43.2</v>
      </c>
      <c r="C126" s="17">
        <f t="shared" si="16"/>
        <v>87400</v>
      </c>
      <c r="D126" s="218">
        <v>3775680</v>
      </c>
      <c r="E126" s="18">
        <f t="shared" si="17"/>
        <v>88350</v>
      </c>
      <c r="F126" s="13">
        <v>3816720</v>
      </c>
      <c r="G126" s="224" t="s">
        <v>50</v>
      </c>
    </row>
    <row r="127" spans="1:9">
      <c r="A127" s="15" t="s">
        <v>106</v>
      </c>
      <c r="B127" s="16">
        <v>45.32</v>
      </c>
      <c r="C127" s="17">
        <f t="shared" si="16"/>
        <v>86450</v>
      </c>
      <c r="D127" s="218">
        <v>3917914</v>
      </c>
      <c r="E127" s="18">
        <f t="shared" si="17"/>
        <v>87400</v>
      </c>
      <c r="F127" s="13">
        <v>3960968</v>
      </c>
      <c r="G127" s="224" t="s">
        <v>50</v>
      </c>
    </row>
    <row r="128" spans="1:9">
      <c r="A128" s="15" t="s">
        <v>106</v>
      </c>
      <c r="B128" s="16">
        <v>48.45</v>
      </c>
      <c r="C128" s="17">
        <f t="shared" si="16"/>
        <v>83398.600000000006</v>
      </c>
      <c r="D128" s="218">
        <v>4040662.17</v>
      </c>
      <c r="E128" s="18">
        <f t="shared" si="17"/>
        <v>84348.6</v>
      </c>
      <c r="F128" s="13">
        <v>4086689.67</v>
      </c>
      <c r="G128" s="224" t="s">
        <v>50</v>
      </c>
    </row>
    <row r="129" spans="1:9">
      <c r="A129" s="20" t="s">
        <v>106</v>
      </c>
      <c r="B129" s="21">
        <v>55.52</v>
      </c>
      <c r="C129" s="22">
        <f t="shared" si="16"/>
        <v>78045.350000000006</v>
      </c>
      <c r="D129" s="219">
        <v>4333077.8320000004</v>
      </c>
      <c r="E129" s="24">
        <f t="shared" si="17"/>
        <v>78995.350000000006</v>
      </c>
      <c r="F129" s="23">
        <v>4385821.8320000004</v>
      </c>
      <c r="G129" s="226" t="s">
        <v>50</v>
      </c>
    </row>
    <row r="130" spans="1:9">
      <c r="A130" s="26" t="s">
        <v>107</v>
      </c>
      <c r="B130" s="27">
        <v>17</v>
      </c>
      <c r="C130" s="28">
        <f t="shared" ref="C130:C136" si="18">D130/B130</f>
        <v>119795</v>
      </c>
      <c r="D130" s="221">
        <f>2143700*0.95</f>
        <v>2036515</v>
      </c>
      <c r="E130" s="28">
        <f t="shared" ref="E130:E136" si="19">F130/B130</f>
        <v>120745</v>
      </c>
      <c r="F130" s="28">
        <f>2160700*0.95</f>
        <v>2052665</v>
      </c>
      <c r="G130" s="223" t="s">
        <v>50</v>
      </c>
      <c r="I130" s="44"/>
    </row>
    <row r="131" spans="1:9">
      <c r="A131" s="37" t="s">
        <v>107</v>
      </c>
      <c r="B131" s="11">
        <v>17.3</v>
      </c>
      <c r="C131" s="12">
        <f t="shared" si="18"/>
        <v>119795</v>
      </c>
      <c r="D131" s="217">
        <f>2181530*0.95</f>
        <v>2072453.5</v>
      </c>
      <c r="E131" s="12">
        <f t="shared" si="19"/>
        <v>120745</v>
      </c>
      <c r="F131" s="12">
        <f>2198830*0.95</f>
        <v>2088888.5</v>
      </c>
      <c r="G131" s="222" t="s">
        <v>50</v>
      </c>
      <c r="I131" s="44"/>
    </row>
    <row r="132" spans="1:9">
      <c r="A132" s="38" t="s">
        <v>107</v>
      </c>
      <c r="B132" s="11">
        <v>20</v>
      </c>
      <c r="C132" s="12">
        <f t="shared" si="18"/>
        <v>115045</v>
      </c>
      <c r="D132" s="217">
        <f>2422000*0.95</f>
        <v>2300900</v>
      </c>
      <c r="E132" s="12">
        <f t="shared" si="19"/>
        <v>115995</v>
      </c>
      <c r="F132" s="12">
        <f>2442000*0.95</f>
        <v>2319900</v>
      </c>
      <c r="G132" s="222" t="s">
        <v>50</v>
      </c>
      <c r="I132" s="44"/>
    </row>
    <row r="133" spans="1:9">
      <c r="A133" s="37" t="s">
        <v>107</v>
      </c>
      <c r="B133" s="11">
        <v>20.3</v>
      </c>
      <c r="C133" s="12">
        <f t="shared" si="18"/>
        <v>115045</v>
      </c>
      <c r="D133" s="217">
        <f>2458330*0.95</f>
        <v>2335413.5</v>
      </c>
      <c r="E133" s="12">
        <f t="shared" si="19"/>
        <v>115995</v>
      </c>
      <c r="F133" s="12">
        <f>2478630*0.95</f>
        <v>2354698.5</v>
      </c>
      <c r="G133" s="222" t="s">
        <v>50</v>
      </c>
      <c r="I133" s="44"/>
    </row>
    <row r="134" spans="1:9">
      <c r="A134" s="15" t="s">
        <v>108</v>
      </c>
      <c r="B134" s="16">
        <v>42.1</v>
      </c>
      <c r="C134" s="17">
        <f t="shared" si="18"/>
        <v>88350</v>
      </c>
      <c r="D134" s="218">
        <f>3915300*0.95</f>
        <v>3719535</v>
      </c>
      <c r="E134" s="18">
        <f t="shared" si="19"/>
        <v>89300</v>
      </c>
      <c r="F134" s="13">
        <f>3957400*0.95</f>
        <v>3759530</v>
      </c>
      <c r="G134" s="224" t="s">
        <v>50</v>
      </c>
      <c r="I134" s="44"/>
    </row>
    <row r="135" spans="1:9">
      <c r="A135" s="30" t="s">
        <v>109</v>
      </c>
      <c r="B135" s="16">
        <v>46.7</v>
      </c>
      <c r="C135" s="17">
        <f t="shared" si="18"/>
        <v>87400</v>
      </c>
      <c r="D135" s="218">
        <f>4296400*0.95</f>
        <v>4081580</v>
      </c>
      <c r="E135" s="18">
        <f t="shared" si="19"/>
        <v>88350</v>
      </c>
      <c r="F135" s="13">
        <f>4343100*0.95</f>
        <v>4125945</v>
      </c>
      <c r="G135" s="224" t="s">
        <v>50</v>
      </c>
      <c r="I135" s="44"/>
    </row>
    <row r="136" spans="1:9">
      <c r="A136" s="20" t="s">
        <v>109</v>
      </c>
      <c r="B136" s="21">
        <v>57.1</v>
      </c>
      <c r="C136" s="22">
        <f t="shared" si="18"/>
        <v>78995.350000000006</v>
      </c>
      <c r="D136" s="219">
        <f>4748036.3*0.95</f>
        <v>4510634.4850000003</v>
      </c>
      <c r="E136" s="24">
        <f t="shared" si="19"/>
        <v>79945.350000000006</v>
      </c>
      <c r="F136" s="23">
        <f>4805136.3*0.95</f>
        <v>4564879.4850000003</v>
      </c>
      <c r="G136" s="226" t="s">
        <v>50</v>
      </c>
      <c r="I136" s="44"/>
    </row>
    <row r="137" spans="1:9">
      <c r="A137" s="26" t="s">
        <v>110</v>
      </c>
      <c r="B137" s="27">
        <v>17</v>
      </c>
      <c r="C137" s="28">
        <f t="shared" si="16"/>
        <v>118845</v>
      </c>
      <c r="D137" s="221">
        <v>2020365</v>
      </c>
      <c r="E137" s="28">
        <f t="shared" si="17"/>
        <v>119795</v>
      </c>
      <c r="F137" s="28">
        <v>2036515</v>
      </c>
      <c r="G137" s="29" t="s">
        <v>11</v>
      </c>
    </row>
    <row r="138" spans="1:9">
      <c r="A138" s="37" t="s">
        <v>110</v>
      </c>
      <c r="B138" s="11">
        <v>17.3</v>
      </c>
      <c r="C138" s="12">
        <f t="shared" si="16"/>
        <v>118845</v>
      </c>
      <c r="D138" s="217">
        <v>2056018.5</v>
      </c>
      <c r="E138" s="12">
        <f t="shared" si="17"/>
        <v>119795</v>
      </c>
      <c r="F138" s="12">
        <v>2072453.5</v>
      </c>
      <c r="G138" s="14" t="s">
        <v>11</v>
      </c>
    </row>
    <row r="139" spans="1:9">
      <c r="A139" s="38" t="s">
        <v>110</v>
      </c>
      <c r="B139" s="11">
        <v>20</v>
      </c>
      <c r="C139" s="12">
        <f t="shared" si="16"/>
        <v>114095</v>
      </c>
      <c r="D139" s="217">
        <v>2281900</v>
      </c>
      <c r="E139" s="12">
        <f t="shared" si="17"/>
        <v>115045</v>
      </c>
      <c r="F139" s="12">
        <v>2300900</v>
      </c>
      <c r="G139" s="14" t="s">
        <v>11</v>
      </c>
    </row>
    <row r="140" spans="1:9">
      <c r="A140" s="37" t="s">
        <v>110</v>
      </c>
      <c r="B140" s="11">
        <v>20.3</v>
      </c>
      <c r="C140" s="12">
        <f t="shared" si="16"/>
        <v>114095</v>
      </c>
      <c r="D140" s="217">
        <v>2316128.5</v>
      </c>
      <c r="E140" s="12">
        <f t="shared" si="17"/>
        <v>115045</v>
      </c>
      <c r="F140" s="12">
        <v>2335413.5</v>
      </c>
      <c r="G140" s="14" t="s">
        <v>11</v>
      </c>
    </row>
    <row r="141" spans="1:9">
      <c r="A141" s="15" t="s">
        <v>111</v>
      </c>
      <c r="B141" s="16">
        <v>42.1</v>
      </c>
      <c r="C141" s="17">
        <f t="shared" si="16"/>
        <v>87400</v>
      </c>
      <c r="D141" s="218">
        <v>3679540</v>
      </c>
      <c r="E141" s="18">
        <f t="shared" si="17"/>
        <v>88350</v>
      </c>
      <c r="F141" s="13">
        <v>3719535</v>
      </c>
      <c r="G141" s="19" t="s">
        <v>11</v>
      </c>
    </row>
    <row r="142" spans="1:9">
      <c r="A142" s="30" t="s">
        <v>112</v>
      </c>
      <c r="B142" s="16">
        <v>46.7</v>
      </c>
      <c r="C142" s="17">
        <f t="shared" si="16"/>
        <v>86450</v>
      </c>
      <c r="D142" s="218">
        <v>4037215</v>
      </c>
      <c r="E142" s="18">
        <f t="shared" si="17"/>
        <v>87400</v>
      </c>
      <c r="F142" s="13">
        <v>4081580</v>
      </c>
      <c r="G142" s="19" t="s">
        <v>11</v>
      </c>
    </row>
    <row r="143" spans="1:9">
      <c r="A143" s="20" t="s">
        <v>112</v>
      </c>
      <c r="B143" s="21">
        <v>57.1</v>
      </c>
      <c r="C143" s="22">
        <f t="shared" si="16"/>
        <v>78045.350000000006</v>
      </c>
      <c r="D143" s="219">
        <v>4456389.4850000003</v>
      </c>
      <c r="E143" s="24">
        <f t="shared" si="17"/>
        <v>78995.350000000006</v>
      </c>
      <c r="F143" s="23">
        <v>4510634.4850000003</v>
      </c>
      <c r="G143" s="25" t="s">
        <v>11</v>
      </c>
    </row>
    <row r="145" spans="1:10" ht="15.75">
      <c r="A145" s="207" t="s">
        <v>25</v>
      </c>
      <c r="B145" s="208"/>
      <c r="C145" s="208"/>
      <c r="D145" s="208"/>
      <c r="E145" s="208"/>
      <c r="F145" s="209"/>
      <c r="G145" s="207" t="s">
        <v>26</v>
      </c>
      <c r="H145" s="208"/>
      <c r="I145" s="208"/>
      <c r="J145" s="210"/>
    </row>
    <row r="146" spans="1:10" ht="15.75">
      <c r="A146" s="211" t="s">
        <v>28</v>
      </c>
      <c r="B146" s="212" t="s">
        <v>29</v>
      </c>
      <c r="C146" s="213" t="s">
        <v>30</v>
      </c>
      <c r="D146" s="212"/>
      <c r="E146" s="213" t="s">
        <v>31</v>
      </c>
      <c r="F146" s="214"/>
      <c r="G146" s="46" t="s">
        <v>32</v>
      </c>
      <c r="H146" s="215" t="s">
        <v>30</v>
      </c>
      <c r="I146" s="216"/>
      <c r="J146" s="53" t="s">
        <v>33</v>
      </c>
    </row>
    <row r="147" spans="1:10" ht="94.5">
      <c r="A147" s="47" t="s">
        <v>34</v>
      </c>
      <c r="B147" s="48" t="s">
        <v>35</v>
      </c>
      <c r="C147" s="48" t="s">
        <v>34</v>
      </c>
      <c r="D147" s="48" t="s">
        <v>35</v>
      </c>
      <c r="E147" s="48" t="s">
        <v>36</v>
      </c>
      <c r="F147" s="49" t="s">
        <v>37</v>
      </c>
      <c r="G147" s="47" t="s">
        <v>38</v>
      </c>
      <c r="H147" s="48" t="s">
        <v>39</v>
      </c>
      <c r="I147" s="54" t="s">
        <v>38</v>
      </c>
      <c r="J147" s="49" t="s">
        <v>40</v>
      </c>
    </row>
    <row r="148" spans="1:10" ht="15.75">
      <c r="A148" s="50">
        <v>1</v>
      </c>
      <c r="B148" s="51">
        <v>2</v>
      </c>
      <c r="C148" s="51">
        <v>3</v>
      </c>
      <c r="D148" s="51">
        <v>4</v>
      </c>
      <c r="E148" s="51">
        <v>5</v>
      </c>
      <c r="F148" s="52">
        <v>6</v>
      </c>
      <c r="G148" s="50">
        <v>7</v>
      </c>
      <c r="H148" s="51">
        <v>8</v>
      </c>
      <c r="I148" s="55">
        <v>9</v>
      </c>
      <c r="J148" s="52">
        <v>10</v>
      </c>
    </row>
  </sheetData>
  <mergeCells count="6">
    <mergeCell ref="A145:F145"/>
    <mergeCell ref="G145:J145"/>
    <mergeCell ref="A146:B146"/>
    <mergeCell ref="C146:D146"/>
    <mergeCell ref="E146:F146"/>
    <mergeCell ref="H146:I146"/>
  </mergeCells>
  <pageMargins left="0.511811023622047" right="0.118110236220472" top="0.35433070866141703" bottom="0.35433070866141703" header="0.31496062992126" footer="0.31496062992126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Кольцово_Семейная_Сбер</vt:lpstr>
      <vt:lpstr>Кольцово</vt:lpstr>
      <vt:lpstr>ЖК ВЛ_Семейная_Сбер</vt:lpstr>
      <vt:lpstr>ЖК ВЛ</vt:lpstr>
      <vt:lpstr>ЖК ЛМ3_Семейная_Сбер</vt:lpstr>
      <vt:lpstr>ЖК ЛМ3</vt:lpstr>
      <vt:lpstr>ЖК Медовый_Семейная_Сбербанк</vt:lpstr>
      <vt:lpstr>ЖК Медовый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2024-05-20T08:12:00Z</cp:lastPrinted>
  <dcterms:created xsi:type="dcterms:W3CDTF">2019-02-27T13:48:00Z</dcterms:created>
  <dcterms:modified xsi:type="dcterms:W3CDTF">2024-12-13T07:55:11Z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6A13B7911CBE41D494C52A97D58F283D_12</vt:lpwstr>
  </property>
  <property fmtid="{D5CDD505-2E9C-101B-9397-08002B2CF9AE}" pid="3" name="KSOProductBuildVer">
    <vt:lpwstr>1049-12.2.0.19307</vt:lpwstr>
  </property>
</Properties>
</file>